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Bayern" sheetId="2" state="visible" r:id="rId4"/>
    <sheet name="Punktetabelle" sheetId="3" state="visible" r:id="rId5"/>
  </sheets>
  <definedNames>
    <definedName function="false" hidden="false" localSheetId="1" name="_xlnm.Print_Area" vbProcedure="false">Bayern!$A$1:$N$41</definedName>
    <definedName function="false" hidden="false" localSheetId="2" name="_xlnm.Print_Area" vbProcedure="false">Punktetabelle!$A$1:$H$37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1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sharedStrings.xml><?xml version="1.0" encoding="utf-8"?>
<sst xmlns="http://schemas.openxmlformats.org/spreadsheetml/2006/main" count="348" uniqueCount="287">
  <si>
    <t xml:space="preserve">Abi-Rechner Bayern für Excel – Abitur 2027</t>
  </si>
  <si>
    <t xml:space="preserve">Stand: September 2026 · kostenlos von abi-rechner.com · aktuelle Regeln mit Quelle</t>
  </si>
  <si>
    <t xml:space="preserve">So funktioniert’s</t>
  </si>
  <si>
    <t xml:space="preserve">1. Öffne das Blatt deines Bundeslandes.</t>
  </si>
  <si>
    <t xml:space="preserve">2. Trag deine Punkte (0–15) in die gelben Felder ein: Halbjahre der Prüfungsfächer, Prüfungen und weitere Kurse.</t>
  </si>
  <si>
    <t xml:space="preserve">3. Markiere Kurse, die du einbringen MUSST, in der Spalte „Pflicht“ mit x. Den Rest wählt die Tabelle optimal aus.</t>
  </si>
  <si>
    <t xml:space="preserve">4. Rechts siehst du sofort Block I, Block II, Gesamtpunkte, Abiturnote und alle Bedingungen.</t>
  </si>
  <si>
    <t xml:space="preserve">5. Noch nicht alles bekannt? Leere Felder werden mit deinem bisherigen Schnitt gefüllt – das ist dann eine Prognose.</t>
  </si>
  <si>
    <t xml:space="preserve">Beispiel einer Eingabezeile</t>
  </si>
  <si>
    <t xml:space="preserve">Prüfungsfach</t>
  </si>
  <si>
    <t xml:space="preserve">HJ 1 – HJ 4</t>
  </si>
  <si>
    <t xml:space="preserve">Prüfung</t>
  </si>
  <si>
    <t xml:space="preserve">Ergebnis</t>
  </si>
  <si>
    <t xml:space="preserve">1. Prüfungsfach (Leistungskurs)</t>
  </si>
  <si>
    <t xml:space="preserve">11 · 12 · 10 · 13</t>
  </si>
  <si>
    <t xml:space="preserve">12</t>
  </si>
  <si>
    <t xml:space="preserve">Halbjahre grün = eingebracht, rot = Unterkurs</t>
  </si>
  <si>
    <t xml:space="preserve">Dein Blatt</t>
  </si>
  <si>
    <t xml:space="preserve">Bundesland</t>
  </si>
  <si>
    <t xml:space="preserve">eingebr. Halbjahre</t>
  </si>
  <si>
    <t xml:space="preserve">Prüfungen</t>
  </si>
  <si>
    <t xml:space="preserve">Rechtsgrundlage</t>
  </si>
  <si>
    <t xml:space="preserve">Bayern</t>
  </si>
  <si>
    <t xml:space="preserve">40</t>
  </si>
  <si>
    <t xml:space="preserve">5</t>
  </si>
  <si>
    <t xml:space="preserve">Abitur 2026/2027 (neues G9, GSO)</t>
  </si>
  <si>
    <t xml:space="preserve">Gut zu wissen</t>
  </si>
  <si>
    <t xml:space="preserve">• Die Abiturnote wird bundesweit einheitlich aus der Gesamtpunktzahl (300–900) berechnet: Note = 17/3 − Punkte/180, auf eine Stelle abgeschnitten; ab 823 Punkten 1,0.</t>
  </si>
  <si>
    <t xml:space="preserve">• Die Umrechnungstabelle findest du im Blatt „Punktetabelle“.</t>
  </si>
  <si>
    <t xml:space="preserve">• Die Berechnung entspricht dem Online-Rechner auf abi-rechner.com (gleiche Regeln, gleiche Rundung).</t>
  </si>
  <si>
    <t xml:space="preserve">• Sonderfälle (z. B. Bilingualer Unterricht, Nachprüfungen, Fachwechsel) kann die Tabelle nicht abbilden – frag im Zweifel deine Oberstufenkoordination.</t>
  </si>
  <si>
    <t xml:space="preserve">• Alle Angaben ohne Gewähr. Maßgeblich sind die Oberstufenverordnungen der Länder in der für deinen Jahrgang gültigen Fassung.</t>
  </si>
  <si>
    <t xml:space="preserve">Online-Rechner, Statistiken, BAföG- und Notendurchschnittsrechner: https://www.abi-rechner.com</t>
  </si>
  <si>
    <t xml:space="preserve">Abi-Rechner Bayern – Abitur 2027</t>
  </si>
  <si>
    <t xml:space="preserve">Hilfswerte (nicht ändern)</t>
  </si>
  <si>
    <t xml:space="preserve">sortA</t>
  </si>
  <si>
    <t xml:space="preserve">cumA</t>
  </si>
  <si>
    <t xml:space="preserve">sortF</t>
  </si>
  <si>
    <t xml:space="preserve">cumF</t>
  </si>
  <si>
    <t xml:space="preserve">Abitur 2026/2027 (neues G9, GSO) · Stand: September 2026 · abi-rechner.com</t>
  </si>
  <si>
    <t xml:space="preserve">Schnitt Halbjahre (Prognose)</t>
  </si>
  <si>
    <t xml:space="preserve">n</t>
  </si>
  <si>
    <t xml:space="preserve">need_raw</t>
  </si>
  <si>
    <t xml:space="preserve">need</t>
  </si>
  <si>
    <t xml:space="preserve">take</t>
  </si>
  <si>
    <t xml:space="preserve">miss_pool</t>
  </si>
  <si>
    <t xml:space="preserve">virt</t>
  </si>
  <si>
    <t xml:space="preserve">cnt</t>
  </si>
  <si>
    <t xml:space="preserve">eaP</t>
  </si>
  <si>
    <t xml:space="preserve">mandS</t>
  </si>
  <si>
    <t xml:space="preserve">top</t>
  </si>
  <si>
    <t xml:space="preserve">P</t>
  </si>
  <si>
    <t xml:space="preserve">S</t>
  </si>
  <si>
    <t xml:space="preserve">pts</t>
  </si>
  <si>
    <t xml:space="preserve">uk</t>
  </si>
  <si>
    <t xml:space="preserve">ukmax</t>
  </si>
  <si>
    <t xml:space="preserve">gk_uk</t>
  </si>
  <si>
    <t xml:space="preserve">gkP</t>
  </si>
  <si>
    <t xml:space="preserve">c_min</t>
  </si>
  <si>
    <t xml:space="preserve">c_uk</t>
  </si>
  <si>
    <t xml:space="preserve">c_eauk</t>
  </si>
  <si>
    <t xml:space="preserve">c_gkuk</t>
  </si>
  <si>
    <t xml:space="preserve">c_eap</t>
  </si>
  <si>
    <t xml:space="preserve">c_gkp</t>
  </si>
  <si>
    <t xml:space="preserve">c_zero</t>
  </si>
  <si>
    <t xml:space="preserve">c_sp1</t>
  </si>
  <si>
    <t xml:space="preserve">c_sp2</t>
  </si>
  <si>
    <t xml:space="preserve">c_many</t>
  </si>
  <si>
    <t xml:space="preserve">valid</t>
  </si>
  <si>
    <t xml:space="preserve">miss</t>
  </si>
  <si>
    <t xml:space="preserve">score</t>
  </si>
  <si>
    <t xml:space="preserve">Gelbe Felder ausfüllen (Punkte 0–15). Leere Felder = noch offen → Prognose mit deinem Schnitt.</t>
  </si>
  <si>
    <t xml:space="preserve">Schnitt Prüfungen (Prognose)</t>
  </si>
  <si>
    <t xml:space="preserve">Eingaben vorhanden</t>
  </si>
  <si>
    <t xml:space="preserve">Fach</t>
  </si>
  <si>
    <t xml:space="preserve">HJ 1</t>
  </si>
  <si>
    <t xml:space="preserve">HJ 2</t>
  </si>
  <si>
    <t xml:space="preserve">HJ 3</t>
  </si>
  <si>
    <t xml:space="preserve">HJ 4</t>
  </si>
  <si>
    <t xml:space="preserve">mündl. Zusatz-prüfung</t>
  </si>
  <si>
    <t xml:space="preserve">Dein Ergebnis</t>
  </si>
  <si>
    <t xml:space="preserve">Pflicht-Halbjahre</t>
  </si>
  <si>
    <t xml:space="preserve">Pool A</t>
  </si>
  <si>
    <t xml:space="preserve">Pool F</t>
  </si>
  <si>
    <t xml:space="preserve">eingebracht</t>
  </si>
  <si>
    <t xml:space="preserve">A:sum13</t>
  </si>
  <si>
    <t xml:space="preserve">A:sum4</t>
  </si>
  <si>
    <t xml:space="preserve">A:cnt13</t>
  </si>
  <si>
    <t xml:space="preserve">A:cnt4</t>
  </si>
  <si>
    <t xml:space="preserve">A:uk</t>
  </si>
  <si>
    <t xml:space="preserve">A:zero</t>
  </si>
  <si>
    <t xml:space="preserve">A:miss</t>
  </si>
  <si>
    <t xml:space="preserve">A:allsum</t>
  </si>
  <si>
    <t xml:space="preserve">F:sum13</t>
  </si>
  <si>
    <t xml:space="preserve">F:sum4</t>
  </si>
  <si>
    <t xml:space="preserve">F:cnt13</t>
  </si>
  <si>
    <t xml:space="preserve">F:cnt4</t>
  </si>
  <si>
    <t xml:space="preserve">F:uk</t>
  </si>
  <si>
    <t xml:space="preserve">F:zero</t>
  </si>
  <si>
    <t xml:space="preserve">F:miss</t>
  </si>
  <si>
    <t xml:space="preserve">F:allsum</t>
  </si>
  <si>
    <t xml:space="preserve">A:s</t>
  </si>
  <si>
    <t xml:space="preserve">A:w</t>
  </si>
  <si>
    <t xml:space="preserve">A:good</t>
  </si>
  <si>
    <t xml:space="preserve">A:below</t>
  </si>
  <si>
    <t xml:space="preserve">F:s</t>
  </si>
  <si>
    <t xml:space="preserve">F:w</t>
  </si>
  <si>
    <t xml:space="preserve">F:good</t>
  </si>
  <si>
    <t xml:space="preserve">F:below</t>
  </si>
  <si>
    <t xml:space="preserve">1. Abiturfach
Deutsch, erhöhtes Niveau</t>
  </si>
  <si>
    <t xml:space="preserve">Abi</t>
  </si>
  <si>
    <t xml:space="preserve">Status</t>
  </si>
  <si>
    <t xml:space="preserve">fehlende Pflicht-Halbjahre</t>
  </si>
  <si>
    <t xml:space="preserve">2. Abiturfach
Mathematik, erhöhtes Niveau</t>
  </si>
  <si>
    <t xml:space="preserve">Block I – Qualifikationsphase</t>
  </si>
  <si>
    <t xml:space="preserve">von 600 (mind. 200)</t>
  </si>
  <si>
    <t xml:space="preserve">Pool Anzahl</t>
  </si>
  <si>
    <t xml:space="preserve">3. Abiturfach
Leistungsfach, erhöhtes Niveau</t>
  </si>
  <si>
    <t xml:space="preserve">Block II – Abiturprüfungen</t>
  </si>
  <si>
    <t xml:space="preserve">von 300 (mind. 100)</t>
  </si>
  <si>
    <t xml:space="preserve">Pool &gt;=5</t>
  </si>
  <si>
    <t xml:space="preserve">4. Abiturfach
Kolloquium (mündlich)</t>
  </si>
  <si>
    <t xml:space="preserve">–</t>
  </si>
  <si>
    <t xml:space="preserve">Gesamtpunktzahl</t>
  </si>
  <si>
    <t xml:space="preserve">von 900 (mind. 300)</t>
  </si>
  <si>
    <t xml:space="preserve">UK eA (Pflicht)</t>
  </si>
  <si>
    <t xml:space="preserve">5. Abiturfach
Kolloquium (mündlich)</t>
  </si>
  <si>
    <t xml:space="preserve">Abiturnote</t>
  </si>
  <si>
    <t xml:space="preserve">UK GK (Pflicht)</t>
  </si>
  <si>
    <t xml:space="preserve">Weitere Kurse</t>
  </si>
  <si>
    <t xml:space="preserve">Pflicht (x)</t>
  </si>
  <si>
    <t xml:space="preserve">Bis zur nächsten besseren Note</t>
  </si>
  <si>
    <t xml:space="preserve">Summe GK (Pflicht)</t>
  </si>
  <si>
    <t xml:space="preserve">open</t>
  </si>
  <si>
    <t xml:space="preserve">pflicht</t>
  </si>
  <si>
    <t xml:space="preserve">A:sum</t>
  </si>
  <si>
    <t xml:space="preserve">A:cnt</t>
  </si>
  <si>
    <t xml:space="preserve">F:sum</t>
  </si>
  <si>
    <t xml:space="preserve">F:cnt</t>
  </si>
  <si>
    <t xml:space="preserve">Kurs 1</t>
  </si>
  <si>
    <t xml:space="preserve">Puffer bis zur schlechteren Note</t>
  </si>
  <si>
    <t xml:space="preserve">Pflicht-HJ mit 0 Punkten</t>
  </si>
  <si>
    <t xml:space="preserve">Kurs 2</t>
  </si>
  <si>
    <t xml:space="preserve">Eingebrachte Halbjahre</t>
  </si>
  <si>
    <t xml:space="preserve">Zusatzleistung</t>
  </si>
  <si>
    <t xml:space="preserve">Kurs 3</t>
  </si>
  <si>
    <t xml:space="preserve">Unterkurse (unter 5 Punkten)</t>
  </si>
  <si>
    <t xml:space="preserve">Zusatzleistung vorhanden</t>
  </si>
  <si>
    <t xml:space="preserve">Kurs 4</t>
  </si>
  <si>
    <t xml:space="preserve">Hebel: +1 Punkt in einer Prüfung</t>
  </si>
  <si>
    <t xml:space="preserve">Gesamtpunkte</t>
  </si>
  <si>
    <t xml:space="preserve">Zusatzleistung fehlt</t>
  </si>
  <si>
    <t xml:space="preserve">Kurs 5</t>
  </si>
  <si>
    <t xml:space="preserve">Hebel: +1 Punkt in einem Halbjahr</t>
  </si>
  <si>
    <t xml:space="preserve">Gesamtpunkt (Pflicht-/eingebrachtes HJ)</t>
  </si>
  <si>
    <t xml:space="preserve">UK Zusatzleistung</t>
  </si>
  <si>
    <t xml:space="preserve">Kurs 6</t>
  </si>
  <si>
    <t xml:space="preserve">by48</t>
  </si>
  <si>
    <t xml:space="preserve">Kurs 7</t>
  </si>
  <si>
    <t xml:space="preserve">Bedingungen für die Zulassung / das Bestehen</t>
  </si>
  <si>
    <t xml:space="preserve">Wert</t>
  </si>
  <si>
    <t xml:space="preserve">by100</t>
  </si>
  <si>
    <t xml:space="preserve">Kurs 8</t>
  </si>
  <si>
    <t xml:space="preserve">Block I mindestens 200 Punkte</t>
  </si>
  <si>
    <t xml:space="preserve">beste Variante A</t>
  </si>
  <si>
    <t xml:space="preserve">Kurs 9</t>
  </si>
  <si>
    <t xml:space="preserve">beste Variante F</t>
  </si>
  <si>
    <t xml:space="preserve">Kurs 10</t>
  </si>
  <si>
    <t xml:space="preserve">Keine Pflicht-Halbjahre mit 0 Punkten</t>
  </si>
  <si>
    <t xml:space="preserve">Faktor Prüfungen</t>
  </si>
  <si>
    <t xml:space="preserve">Kurs 11</t>
  </si>
  <si>
    <t xml:space="preserve">Deutsch, Mathematik und Leistungsfach zusammen mindestens 48 Punkte</t>
  </si>
  <si>
    <t xml:space="preserve">Block II A</t>
  </si>
  <si>
    <t xml:space="preserve">Kurs 12</t>
  </si>
  <si>
    <t xml:space="preserve">Die 5 Abiturfächer (Halbjahre) zusammen mindestens 100 Punkte</t>
  </si>
  <si>
    <t xml:space="preserve">&gt;=5 Punkte A</t>
  </si>
  <si>
    <t xml:space="preserve">Kurs 13</t>
  </si>
  <si>
    <t xml:space="preserve">Nicht mehr Pflichtkurse markiert, als eingebracht werden dürfen</t>
  </si>
  <si>
    <t xml:space="preserve">&gt;=5 in Pflichtfächern A</t>
  </si>
  <si>
    <t xml:space="preserve">Kurs 14</t>
  </si>
  <si>
    <t xml:space="preserve">Block II mindestens 100 Punkte</t>
  </si>
  <si>
    <t xml:space="preserve">Prüfung 0 A</t>
  </si>
  <si>
    <t xml:space="preserve">unter Mindestpunktzahl A</t>
  </si>
  <si>
    <t xml:space="preserve">W-Seminararbeit (Gesamtleistung)
0–30 Punkte, zählt wie 2 Halbjahresleistungen</t>
  </si>
  <si>
    <t xml:space="preserve">0–30</t>
  </si>
  <si>
    <t xml:space="preserve">Keine Prüfung unter der Mindestpunktzahl (1 Punkt einfach)</t>
  </si>
  <si>
    <t xml:space="preserve">Block II F</t>
  </si>
  <si>
    <t xml:space="preserve">Gesamtpunktzahl mindestens 300</t>
  </si>
  <si>
    <t xml:space="preserve">&gt;=5 Punkte F</t>
  </si>
  <si>
    <t xml:space="preserve">Die Regeln in Bayern kurz erklärt</t>
  </si>
  <si>
    <t xml:space="preserve">&gt;=5 in Pflichtfächern F</t>
  </si>
  <si>
    <t xml:space="preserve">• 40 Halbjahresleistungen werden einfach addiert – auch das Leistungsfach zählt nicht doppelt.</t>
  </si>
  <si>
    <t xml:space="preserve">Legende</t>
  </si>
  <si>
    <t xml:space="preserve">Prüfung 0 F</t>
  </si>
  <si>
    <t xml:space="preserve">• Die W-Seminararbeit (0–30 Punkte) zählt wie 2 Halbjahresleistungen.</t>
  </si>
  <si>
    <t xml:space="preserve">Eingabefeld (Punkte 0–15)</t>
  </si>
  <si>
    <t xml:space="preserve">unter Mindestpunktzahl F</t>
  </si>
  <si>
    <t xml:space="preserve">• Höchstens 8 Halbjahresleistungen unter 5 Punkten, keine mit 0 Punkten.</t>
  </si>
  <si>
    <t xml:space="preserve">Halbjahr wird eingebracht</t>
  </si>
  <si>
    <t xml:space="preserve">nötige Prüfungen &gt;=5</t>
  </si>
  <si>
    <t xml:space="preserve">• In Deutsch, Mathematik und Leistungsfach zusammen mind. 48 Punkte; in den 5 Abiturfächern mind. 100 Punkte (Halbjahre).</t>
  </si>
  <si>
    <t xml:space="preserve">eingebracht, aber Unterkurs (unter 5 Punkten)</t>
  </si>
  <si>
    <t xml:space="preserve">fehlende Prüfungen</t>
  </si>
  <si>
    <t xml:space="preserve">• Block II: 5 Abiturprüfungen (3 schriftlich, 2 Kolloquien), jeweils vierfach; keine Prüfung unter 1 Punkt.</t>
  </si>
  <si>
    <t xml:space="preserve">wird nicht eingebracht (Streichergebnis)</t>
  </si>
  <si>
    <t xml:space="preserve">B2 Bedingung 0 A</t>
  </si>
  <si>
    <t xml:space="preserve">B2 Bedingung 1 A</t>
  </si>
  <si>
    <t xml:space="preserve">Quelle: GSO Bayern §§ 44, 52–54</t>
  </si>
  <si>
    <t xml:space="preserve">Die Tabelle wählt automatisch die günstigsten Halbjahre aus.</t>
  </si>
  <si>
    <t xml:space="preserve">B2 Bedingung 2 A</t>
  </si>
  <si>
    <t xml:space="preserve">https://www.gesetze-bayern.de/Content/Document/BayGSO-44</t>
  </si>
  <si>
    <t xml:space="preserve">Blattschutz ohne Passwort: Überprüfen → Blatt schützen aufheben.</t>
  </si>
  <si>
    <t xml:space="preserve">B2 gültig A</t>
  </si>
  <si>
    <t xml:space="preserve">B2 Bedingung 0 F</t>
  </si>
  <si>
    <t xml:space="preserve">Online-Rechner Bayern mit Statistik und PDF-Download: https://www.abi-rechner.com/bundeslander/bayern/</t>
  </si>
  <si>
    <t xml:space="preserve">B2 Bedingung 1 F</t>
  </si>
  <si>
    <t xml:space="preserve">Alle Angaben ohne Gewähr. Maßgeblich ist die Oberstufenverordnung deines Landes und die Auskunft deiner Schule.</t>
  </si>
  <si>
    <t xml:space="preserve">B2 Bedingung 2 F</t>
  </si>
  <si>
    <t xml:space="preserve">B2 gültig F</t>
  </si>
  <si>
    <t xml:space="preserve">fehlende Eingaben</t>
  </si>
  <si>
    <t xml:space="preserve">vollständig</t>
  </si>
  <si>
    <t xml:space="preserve">m_pts</t>
  </si>
  <si>
    <t xml:space="preserve">m_cnt</t>
  </si>
  <si>
    <t xml:space="preserve">m_uk</t>
  </si>
  <si>
    <t xml:space="preserve">m_ukmax</t>
  </si>
  <si>
    <t xml:space="preserve">m_gk_uk</t>
  </si>
  <si>
    <t xml:space="preserve">m_eaP</t>
  </si>
  <si>
    <t xml:space="preserve">m_gkP</t>
  </si>
  <si>
    <t xml:space="preserve">m_S</t>
  </si>
  <si>
    <t xml:space="preserve">m_P</t>
  </si>
  <si>
    <t xml:space="preserve">m_take</t>
  </si>
  <si>
    <t xml:space="preserve">m_valid</t>
  </si>
  <si>
    <t xml:space="preserve">m_c_min</t>
  </si>
  <si>
    <t xml:space="preserve">m_c_uk</t>
  </si>
  <si>
    <t xml:space="preserve">m_c_eauk</t>
  </si>
  <si>
    <t xml:space="preserve">m_c_gkuk</t>
  </si>
  <si>
    <t xml:space="preserve">m_c_eap</t>
  </si>
  <si>
    <t xml:space="preserve">m_c_gkp</t>
  </si>
  <si>
    <t xml:space="preserve">m_c_zero</t>
  </si>
  <si>
    <t xml:space="preserve">m_c_sp1</t>
  </si>
  <si>
    <t xml:space="preserve">m_c_sp2</t>
  </si>
  <si>
    <t xml:space="preserve">m_c_many</t>
  </si>
  <si>
    <t xml:space="preserve">m_dset</t>
  </si>
  <si>
    <t xml:space="preserve">m_ea_uk</t>
  </si>
  <si>
    <t xml:space="preserve">m_by48</t>
  </si>
  <si>
    <t xml:space="preserve">m_by100</t>
  </si>
  <si>
    <t xml:space="preserve">m_b2</t>
  </si>
  <si>
    <t xml:space="preserve">m_b2good</t>
  </si>
  <si>
    <t xml:space="preserve">m_b2c0</t>
  </si>
  <si>
    <t xml:space="preserve">m_b2c1</t>
  </si>
  <si>
    <t xml:space="preserve">m_b2c2</t>
  </si>
  <si>
    <t xml:space="preserve">m_b2valid</t>
  </si>
  <si>
    <t xml:space="preserve">mind. 300</t>
  </si>
  <si>
    <t xml:space="preserve">bestanden</t>
  </si>
  <si>
    <t xml:space="preserve">Note in Zehnteln</t>
  </si>
  <si>
    <t xml:space="preserve">Punkte bis bessere Note</t>
  </si>
  <si>
    <t xml:space="preserve">Puffer</t>
  </si>
  <si>
    <t xml:space="preserve">Punktetabelle: Gesamtpunkte → Abiturnote</t>
  </si>
  <si>
    <t xml:space="preserve">Umrechnung nach KMK-Vereinbarung (Anlage 3): N = 17/3 − P/180, auf eine Nachkommastelle abgeschnitten.</t>
  </si>
  <si>
    <t xml:space="preserve">Punkte von</t>
  </si>
  <si>
    <t xml:space="preserve">Punkte bis</t>
  </si>
  <si>
    <t xml:space="preserve">Notenpunkte</t>
  </si>
  <si>
    <t xml:space="preserve">Note</t>
  </si>
  <si>
    <t xml:space="preserve">Bedeutung</t>
  </si>
  <si>
    <t xml:space="preserve">1+</t>
  </si>
  <si>
    <t xml:space="preserve">sehr gut</t>
  </si>
  <si>
    <t xml:space="preserve">1</t>
  </si>
  <si>
    <t xml:space="preserve">1−</t>
  </si>
  <si>
    <t xml:space="preserve">2+</t>
  </si>
  <si>
    <t xml:space="preserve">gut</t>
  </si>
  <si>
    <t xml:space="preserve">2</t>
  </si>
  <si>
    <t xml:space="preserve">2−</t>
  </si>
  <si>
    <t xml:space="preserve">3+</t>
  </si>
  <si>
    <t xml:space="preserve">befriedigend</t>
  </si>
  <si>
    <t xml:space="preserve">3</t>
  </si>
  <si>
    <t xml:space="preserve">3−</t>
  </si>
  <si>
    <t xml:space="preserve">4+</t>
  </si>
  <si>
    <t xml:space="preserve">ausreichend</t>
  </si>
  <si>
    <t xml:space="preserve">4</t>
  </si>
  <si>
    <t xml:space="preserve">4−</t>
  </si>
  <si>
    <t xml:space="preserve">5+</t>
  </si>
  <si>
    <t xml:space="preserve">mangelhaft</t>
  </si>
  <si>
    <t xml:space="preserve">5−</t>
  </si>
  <si>
    <t xml:space="preserve">6</t>
  </si>
  <si>
    <t xml:space="preserve">ungenügend</t>
  </si>
  <si>
    <t xml:space="preserve">Unter 5 Punkten = Unterkurs / Defizit.</t>
  </si>
  <si>
    <t xml:space="preserve">Unter 300 Punkten ist das Abitur nicht bestanden.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</si>
</sst>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2"/>
      <color rgb="FF1F4E7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4E7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u val="single"/>
      <sz val="10"/>
      <color rgb="FF0563C1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8"/>
      <color rgb="FF80808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8"/>
      <color rgb="FF7F7F7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A6A6A6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8"/>
      <color rgb="FF7F7F7F"/>
      <name val="Arial"/>
      <family val="0"/>
      <charset val="1"/>
    </font>
    <font>
      <sz val="9"/>
      <color rgb="FFC00000"/>
      <name val="Arial"/>
      <family val="0"/>
      <charset val="1"/>
    </font>
    <font>
      <sz val="9"/>
      <color rgb="FF80808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u val="single"/>
      <sz val="8"/>
      <color rgb="FF0563C1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sz val="10"/>
      <name val="Arial"/>
      <family val="2"/>
    </font>
    <font>
      <b val="true"/>
      <sz val="14"/>
      <color rgb="FF1F4E7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CE4E4"/>
      </patternFill>
    </fill>
    <fill>
      <patternFill patternType="solid">
        <fgColor rgb="FFEDEDED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CE4E4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2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C00000"/>
      </font>
      <fill>
        <patternFill>
          <bgColor rgb="FFFCE4E4"/>
        </patternFill>
      </fill>
    </dxf>
    <dxf>
      <fill>
        <patternFill>
          <bgColor rgb="FFE2EFDA"/>
        </patternFill>
      </fill>
    </dxf>
    <dxf>
      <font>
        <name val="Arial"/>
        <charset val="1"/>
        <family val="0"/>
        <color rgb="FF808080"/>
      </font>
      <fill>
        <patternFill>
          <bgColor rgb="FFEDEDED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375623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C00000"/>
        <sz val="12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bi-rechner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www.gesetze-bayern.de/Content/Document/BayGSO-44" TargetMode="External"/><Relationship Id="rId3" Type="http://schemas.openxmlformats.org/officeDocument/2006/relationships/hyperlink" Target="https://www.abi-rechner.com/bundeslander/bayern/" TargetMode="External"/><Relationship Id="rId4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5" min="5" style="0" width="60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6" t="s">
        <v>9</v>
      </c>
      <c r="C12" s="6" t="s">
        <v>10</v>
      </c>
      <c r="D12" s="6" t="s">
        <v>11</v>
      </c>
      <c r="E12" s="6" t="s">
        <v>12</v>
      </c>
    </row>
    <row r="13" customFormat="false" ht="15" hidden="false" customHeight="false" outlineLevel="0" collapsed="false">
      <c r="B13" s="7" t="s">
        <v>13</v>
      </c>
      <c r="C13" s="8" t="s">
        <v>14</v>
      </c>
      <c r="D13" s="8" t="s">
        <v>15</v>
      </c>
      <c r="E13" s="7" t="s">
        <v>16</v>
      </c>
    </row>
    <row r="15" customFormat="false" ht="15" hidden="false" customHeight="false" outlineLevel="0" collapsed="false">
      <c r="B15" s="3" t="s">
        <v>17</v>
      </c>
    </row>
    <row r="16" customFormat="false" ht="15" hidden="false" customHeight="false" outlineLevel="0" collapsed="false">
      <c r="B16" s="6" t="s">
        <v>18</v>
      </c>
      <c r="C16" s="6" t="s">
        <v>19</v>
      </c>
      <c r="D16" s="6" t="s">
        <v>20</v>
      </c>
      <c r="E16" s="6" t="s">
        <v>21</v>
      </c>
    </row>
    <row r="17" customFormat="false" ht="15" hidden="false" customHeight="false" outlineLevel="0" collapsed="false">
      <c r="B17" s="9" t="s">
        <v>22</v>
      </c>
      <c r="C17" s="10" t="s">
        <v>23</v>
      </c>
      <c r="D17" s="10" t="s">
        <v>24</v>
      </c>
      <c r="E17" s="11" t="s">
        <v>25</v>
      </c>
    </row>
    <row r="19" customFormat="false" ht="15" hidden="false" customHeight="false" outlineLevel="0" collapsed="false">
      <c r="B19" s="3" t="s">
        <v>26</v>
      </c>
    </row>
    <row r="20" customFormat="false" ht="15" hidden="false" customHeight="false" outlineLevel="0" collapsed="false">
      <c r="B20" s="12" t="s">
        <v>27</v>
      </c>
    </row>
    <row r="21" customFormat="false" ht="15" hidden="false" customHeight="false" outlineLevel="0" collapsed="false">
      <c r="B21" s="12" t="s">
        <v>28</v>
      </c>
    </row>
    <row r="22" customFormat="false" ht="15" hidden="false" customHeight="false" outlineLevel="0" collapsed="false">
      <c r="B22" s="12" t="s">
        <v>29</v>
      </c>
    </row>
    <row r="23" customFormat="false" ht="15" hidden="false" customHeight="false" outlineLevel="0" collapsed="false">
      <c r="B23" s="12" t="s">
        <v>30</v>
      </c>
    </row>
    <row r="24" customFormat="false" ht="15" hidden="false" customHeight="false" outlineLevel="0" collapsed="false">
      <c r="B24" s="12" t="s">
        <v>31</v>
      </c>
    </row>
    <row r="26" customFormat="false" ht="15" hidden="false" customHeight="false" outlineLevel="0" collapsed="false">
      <c r="B26" s="13" t="s">
        <v>32</v>
      </c>
    </row>
  </sheetData>
  <sheetProtection sheet="true" formatColumns="false"/>
  <hyperlinks>
    <hyperlink ref="B17" location="'Bayern'!A1" display="Bayern"/>
    <hyperlink ref="B26" r:id="rId1" display="Online-Rechner, Statistiken, BAföG- und Notendurchschnittsrechner: https://www.abi-rechne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8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33</v>
      </c>
      <c r="T1" s="15" t="s">
        <v>34</v>
      </c>
      <c r="BZ1" s="15" t="s">
        <v>35</v>
      </c>
      <c r="CA1" s="15" t="s">
        <v>36</v>
      </c>
      <c r="CB1" s="15" t="s">
        <v>37</v>
      </c>
      <c r="CC1" s="15" t="s">
        <v>38</v>
      </c>
    </row>
    <row r="2" customFormat="false" ht="15" hidden="false" customHeight="false" outlineLevel="0" collapsed="false">
      <c r="B2" s="2" t="s">
        <v>39</v>
      </c>
      <c r="T2" s="15" t="s">
        <v>40</v>
      </c>
      <c r="U2" s="15" t="n">
        <f aca="false">IFERROR(AVERAGE($E$6:$H$25),7)</f>
        <v>7</v>
      </c>
      <c r="BZ2" s="15" t="n">
        <f aca="false">IFERROR(LARGE($AH$6:$AK$25,1),0)</f>
        <v>0</v>
      </c>
      <c r="CA2" s="15" t="n">
        <f aca="false">BZ2</f>
        <v>0</v>
      </c>
      <c r="CB2" s="15" t="n">
        <f aca="false">IFERROR(LARGE($AM$6:$AP$25,1),0)</f>
        <v>0</v>
      </c>
      <c r="CC2" s="15" t="n">
        <f aca="false">CB2</f>
        <v>0</v>
      </c>
      <c r="CE2" s="15" t="s">
        <v>41</v>
      </c>
      <c r="CF2" s="15" t="s">
        <v>42</v>
      </c>
      <c r="CG2" s="15" t="s">
        <v>43</v>
      </c>
      <c r="CH2" s="15" t="s">
        <v>44</v>
      </c>
      <c r="CI2" s="15" t="s">
        <v>45</v>
      </c>
      <c r="CJ2" s="15" t="s">
        <v>46</v>
      </c>
      <c r="CK2" s="15" t="s">
        <v>47</v>
      </c>
      <c r="CL2" s="15" t="s">
        <v>48</v>
      </c>
      <c r="CM2" s="15" t="s">
        <v>49</v>
      </c>
      <c r="CN2" s="15" t="s">
        <v>50</v>
      </c>
      <c r="CO2" s="15" t="s">
        <v>51</v>
      </c>
      <c r="CP2" s="15" t="s">
        <v>52</v>
      </c>
      <c r="CQ2" s="15" t="s">
        <v>53</v>
      </c>
      <c r="CR2" s="15" t="s">
        <v>54</v>
      </c>
      <c r="CS2" s="15" t="s">
        <v>55</v>
      </c>
      <c r="CT2" s="15" t="s">
        <v>56</v>
      </c>
      <c r="CU2" s="15" t="s">
        <v>57</v>
      </c>
      <c r="CV2" s="15" t="s">
        <v>58</v>
      </c>
      <c r="CW2" s="15" t="s">
        <v>59</v>
      </c>
      <c r="CX2" s="15" t="s">
        <v>60</v>
      </c>
      <c r="CY2" s="15" t="s">
        <v>61</v>
      </c>
      <c r="CZ2" s="15" t="s">
        <v>62</v>
      </c>
      <c r="DA2" s="15" t="s">
        <v>63</v>
      </c>
      <c r="DB2" s="15" t="s">
        <v>64</v>
      </c>
      <c r="DC2" s="15" t="s">
        <v>65</v>
      </c>
      <c r="DD2" s="15" t="s">
        <v>66</v>
      </c>
      <c r="DE2" s="15" t="s">
        <v>67</v>
      </c>
      <c r="DF2" s="15" t="s">
        <v>68</v>
      </c>
      <c r="DG2" s="15" t="s">
        <v>69</v>
      </c>
      <c r="DH2" s="15" t="s">
        <v>70</v>
      </c>
    </row>
    <row r="3" customFormat="false" ht="15" hidden="false" customHeight="false" outlineLevel="0" collapsed="false">
      <c r="B3" s="16" t="s">
        <v>71</v>
      </c>
      <c r="T3" s="15" t="s">
        <v>72</v>
      </c>
      <c r="U3" s="15" t="n">
        <f aca="false">IFERROR(AVERAGE($I$6:$I$10),$U$2)</f>
        <v>7</v>
      </c>
      <c r="BZ3" s="15" t="n">
        <f aca="false">IFERROR(LARGE($AH$6:$AK$25,2),0)</f>
        <v>0</v>
      </c>
      <c r="CA3" s="15" t="n">
        <f aca="false">CA2+BZ3</f>
        <v>0</v>
      </c>
      <c r="CB3" s="15" t="n">
        <f aca="false">IFERROR(LARGE($AM$6:$AP$25,2),0)</f>
        <v>0</v>
      </c>
      <c r="CC3" s="15" t="n">
        <f aca="false">CC2+CB3</f>
        <v>0</v>
      </c>
      <c r="CE3" s="15" t="n">
        <f aca="false">40</f>
        <v>40</v>
      </c>
      <c r="CF3" s="15" t="n">
        <f aca="false">CE3-$U$5-$U$6-2</f>
        <v>18</v>
      </c>
      <c r="CG3" s="15" t="n">
        <f aca="false">MAX(0,CF3)</f>
        <v>18</v>
      </c>
      <c r="CH3" s="15" t="n">
        <f aca="false">MIN(CG3,$U$7)</f>
        <v>0</v>
      </c>
      <c r="CI3" s="15" t="n">
        <f aca="false">CG3-CH3</f>
        <v>18</v>
      </c>
      <c r="CJ3" s="15" t="n">
        <f aca="false">0</f>
        <v>0</v>
      </c>
      <c r="CK3" s="15" t="n">
        <f aca="false">$U$5+CH3+CJ3+$U$14*2</f>
        <v>0</v>
      </c>
      <c r="CL3" s="15" t="n">
        <f aca="false">1*AW6+1*AX6+1*AW7+1*AX7+1*AW8+1*AX8</f>
        <v>0</v>
      </c>
      <c r="CM3" s="15" t="n">
        <f aca="false">1*AY6+1*AZ6+1*AY7+1*AZ7+1*AY8+1*AZ8+1*AY9+1*AZ9+1*AY10+1*AZ10+SUM($AA$12:$AA$25)</f>
        <v>0</v>
      </c>
      <c r="CN3" s="15" t="n">
        <f aca="false">IF(CH3=0,0,INDEX($CA$2:$CA$57,CH3))</f>
        <v>0</v>
      </c>
      <c r="CO3" s="15" t="n">
        <f aca="false">CL3+$U$11+CN3+CJ3*$U$2+IF($U$14=1,$U$13*1,0)</f>
        <v>0</v>
      </c>
      <c r="CP3" s="15" t="n">
        <f aca="false">CM3+CH3+CJ3+$U$14*2</f>
        <v>0</v>
      </c>
      <c r="CQ3" s="15" t="n">
        <f aca="false">MIN(600,INT((CO3)+0.5+0.000000001))</f>
        <v>0</v>
      </c>
      <c r="CR3" s="15" t="n">
        <f aca="false">$U$9+CT3+$U$16</f>
        <v>0</v>
      </c>
      <c r="CS3" s="15" t="n">
        <f aca="false">8</f>
        <v>8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1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IF($U$17&gt;=48,1,0)</f>
        <v>0</v>
      </c>
      <c r="DD3" s="15" t="n">
        <f aca="false">IF($U$18&gt;=100,1,0)</f>
        <v>0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38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73</v>
      </c>
      <c r="U4" s="15" t="n">
        <f aca="false">IF(COUNT($E$6:$H$25,$I$6:$I$10)&gt;0,1,0)</f>
        <v>0</v>
      </c>
      <c r="BZ4" s="15" t="n">
        <f aca="false">IFERROR(LARGE($AH$6:$AK$25,3),0)</f>
        <v>0</v>
      </c>
      <c r="CA4" s="15" t="n">
        <f aca="false">CA3+BZ4</f>
        <v>0</v>
      </c>
      <c r="CB4" s="15" t="n">
        <f aca="false">IFERROR(LARGE($AM$6:$AP$25,3),0)</f>
        <v>0</v>
      </c>
      <c r="CC4" s="15" t="n">
        <f aca="false">CC3+CB4</f>
        <v>0</v>
      </c>
    </row>
    <row r="5" customFormat="false" ht="30" hidden="false" customHeight="true" outlineLevel="0" collapsed="false">
      <c r="B5" s="17" t="s">
        <v>9</v>
      </c>
      <c r="C5" s="17" t="s">
        <v>74</v>
      </c>
      <c r="D5" s="18"/>
      <c r="E5" s="18" t="s">
        <v>75</v>
      </c>
      <c r="F5" s="18" t="s">
        <v>76</v>
      </c>
      <c r="G5" s="18" t="s">
        <v>77</v>
      </c>
      <c r="H5" s="18" t="s">
        <v>78</v>
      </c>
      <c r="I5" s="18" t="s">
        <v>11</v>
      </c>
      <c r="J5" s="18" t="s">
        <v>79</v>
      </c>
      <c r="L5" s="19" t="s">
        <v>80</v>
      </c>
      <c r="M5" s="20"/>
      <c r="N5" s="20"/>
      <c r="T5" s="15" t="s">
        <v>81</v>
      </c>
      <c r="U5" s="15" t="n">
        <f aca="false">AY6+AY7+AY8+AY9+AY10+AZ6+AZ7+AZ8+AZ9+AZ10+SUM($AA$12:$AA$25)</f>
        <v>0</v>
      </c>
      <c r="V5" s="15" t="n">
        <f aca="false">BG6+BG7+BG8+BG9+BG10+BH6+BH7+BH8+BH9+BH10+SUM($AE$12:$AE$25)</f>
        <v>20</v>
      </c>
      <c r="AH5" s="15" t="s">
        <v>82</v>
      </c>
      <c r="AM5" s="15" t="s">
        <v>83</v>
      </c>
      <c r="AR5" s="15" t="s">
        <v>84</v>
      </c>
      <c r="AW5" s="15" t="s">
        <v>85</v>
      </c>
      <c r="AX5" s="15" t="s">
        <v>86</v>
      </c>
      <c r="AY5" s="15" t="s">
        <v>87</v>
      </c>
      <c r="AZ5" s="15" t="s">
        <v>88</v>
      </c>
      <c r="BA5" s="15" t="s">
        <v>89</v>
      </c>
      <c r="BB5" s="15" t="s">
        <v>90</v>
      </c>
      <c r="BC5" s="15" t="s">
        <v>91</v>
      </c>
      <c r="BD5" s="15" t="s">
        <v>92</v>
      </c>
      <c r="BE5" s="15" t="s">
        <v>93</v>
      </c>
      <c r="BF5" s="15" t="s">
        <v>94</v>
      </c>
      <c r="BG5" s="15" t="s">
        <v>95</v>
      </c>
      <c r="BH5" s="15" t="s">
        <v>96</v>
      </c>
      <c r="BI5" s="15" t="s">
        <v>97</v>
      </c>
      <c r="BJ5" s="15" t="s">
        <v>98</v>
      </c>
      <c r="BK5" s="15" t="s">
        <v>99</v>
      </c>
      <c r="BL5" s="15" t="s">
        <v>100</v>
      </c>
      <c r="BN5" s="15" t="s">
        <v>101</v>
      </c>
      <c r="BO5" s="15" t="s">
        <v>102</v>
      </c>
      <c r="BP5" s="15" t="s">
        <v>103</v>
      </c>
      <c r="BQ5" s="15" t="s">
        <v>90</v>
      </c>
      <c r="BR5" s="15" t="s">
        <v>104</v>
      </c>
      <c r="BT5" s="15" t="s">
        <v>105</v>
      </c>
      <c r="BU5" s="15" t="s">
        <v>106</v>
      </c>
      <c r="BV5" s="15" t="s">
        <v>107</v>
      </c>
      <c r="BW5" s="15" t="s">
        <v>98</v>
      </c>
      <c r="BX5" s="15" t="s">
        <v>108</v>
      </c>
      <c r="BZ5" s="15" t="n">
        <f aca="false">IFERROR(LARGE($AH$6:$AK$25,4),0)</f>
        <v>0</v>
      </c>
      <c r="CA5" s="15" t="n">
        <f aca="false">CA4+BZ5</f>
        <v>0</v>
      </c>
      <c r="CB5" s="15" t="n">
        <f aca="false">IFERROR(LARGE($AM$6:$AP$25,4),0)</f>
        <v>0</v>
      </c>
      <c r="CC5" s="15" t="n">
        <f aca="false">CC4+CB5</f>
        <v>0</v>
      </c>
    </row>
    <row r="6" customFormat="false" ht="39.75" hidden="false" customHeight="true" outlineLevel="0" collapsed="false">
      <c r="B6" s="21" t="s">
        <v>109</v>
      </c>
      <c r="C6" s="22"/>
      <c r="D6" s="23" t="s">
        <v>110</v>
      </c>
      <c r="E6" s="24"/>
      <c r="F6" s="24"/>
      <c r="G6" s="24"/>
      <c r="H6" s="24"/>
      <c r="I6" s="25"/>
      <c r="J6" s="24"/>
      <c r="L6" s="26" t="s">
        <v>111</v>
      </c>
      <c r="M6" s="27" t="str">
        <f aca="false">IF($U$4=0,"Noch keine Eingaben – trag deine Punkte in die gelben Felder ein.",IF($U$43=1,"Endergebnis (alle Felder ausgefüllt)","Prognose: "&amp;$U$42&amp;" Felder offen, gefüllt mit deinem Schnitt von "&amp;FIXED($U$2,1)&amp;" Punkten"))</f>
        <v>Noch keine Eingaben – trag deine Punkte in die gelben Felder ein.</v>
      </c>
      <c r="N6" s="27"/>
      <c r="T6" s="15" t="s">
        <v>112</v>
      </c>
      <c r="U6" s="15" t="n">
        <f aca="false">BC6+BC7+BC8+BC9+BC10</f>
        <v>20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IF(BN6="","",IF(ISNUMBER($J$6),INT(((2*BN6+$J$6)/3*$U$21)+0.5+0.000000001),BN6*$U$21))</f>
        <v/>
      </c>
      <c r="BP6" s="15" t="n">
        <f aca="false">IF(BO6="",0,IF(BO6&gt;=5*$U$21-0.000000001,1,0))</f>
        <v>0</v>
      </c>
      <c r="BQ6" s="15" t="n">
        <f aca="false">IF(BO6="",0,IF(BO6&lt;0.000000001,1,0))</f>
        <v>0</v>
      </c>
      <c r="BR6" s="15" t="n">
        <f aca="false">IF(BO6="",0,IF(BO6&lt;1*$U$21-0.000000001,1,0))</f>
        <v>0</v>
      </c>
      <c r="BT6" s="15" t="n">
        <f aca="false">IF(ISNUMBER($I$6),$I$6,$U$3)</f>
        <v>7</v>
      </c>
      <c r="BU6" s="15" t="n">
        <f aca="false">IF(BT6="","",IF(ISNUMBER($J$6),INT(((2*BT6+$J$6)/3*$U$21)+0.5+0.000000001),BT6*$U$21))</f>
        <v>28</v>
      </c>
      <c r="BV6" s="15" t="n">
        <f aca="false">IF(BU6="",0,IF(BU6&gt;=5*$U$21-0.000000001,1,0))</f>
        <v>1</v>
      </c>
      <c r="BW6" s="15" t="n">
        <f aca="false">IF(BU6="",0,IF(BU6&lt;0.000000001,1,0))</f>
        <v>0</v>
      </c>
      <c r="BX6" s="15" t="n">
        <f aca="false">IF(BU6="",0,IF(BU6&lt;1*$U$21-0.000000001,1,0))</f>
        <v>0</v>
      </c>
      <c r="BZ6" s="15" t="n">
        <f aca="false">IFERROR(LARGE($AH$6:$AK$25,5),0)</f>
        <v>0</v>
      </c>
      <c r="CA6" s="15" t="n">
        <f aca="false">CA5+BZ6</f>
        <v>0</v>
      </c>
      <c r="CB6" s="15" t="n">
        <f aca="false">IFERROR(LARGE($AM$6:$AP$25,5),0)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113</v>
      </c>
      <c r="C7" s="22"/>
      <c r="D7" s="23" t="s">
        <v>110</v>
      </c>
      <c r="E7" s="24"/>
      <c r="F7" s="24"/>
      <c r="G7" s="24"/>
      <c r="H7" s="24"/>
      <c r="I7" s="25"/>
      <c r="J7" s="24"/>
      <c r="L7" s="26" t="s">
        <v>114</v>
      </c>
      <c r="M7" s="28" t="str">
        <f aca="false">IF($U$4=0,"",$U$44)</f>
        <v/>
      </c>
      <c r="N7" s="29" t="s">
        <v>115</v>
      </c>
      <c r="T7" s="15" t="s">
        <v>116</v>
      </c>
      <c r="U7" s="15" t="n">
        <f aca="false">COUNT($AH$6:$AK$25)</f>
        <v>0</v>
      </c>
      <c r="V7" s="15" t="n">
        <f aca="false">COUNT($AM$6:$AP$25)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IF(BN7="","",IF(ISNUMBER($J$7),INT(((2*BN7+$J$7)/3*$U$21)+0.5+0.000000001),BN7*$U$21))</f>
        <v/>
      </c>
      <c r="BP7" s="15" t="n">
        <f aca="false">IF(BO7="",0,IF(BO7&gt;=5*$U$21-0.000000001,1,0))</f>
        <v>0</v>
      </c>
      <c r="BQ7" s="15" t="n">
        <f aca="false">IF(BO7="",0,IF(BO7&lt;0.000000001,1,0))</f>
        <v>0</v>
      </c>
      <c r="BR7" s="15" t="n">
        <f aca="false">IF(BO7="",0,IF(BO7&lt;1*$U$21-0.000000001,1,0))</f>
        <v>0</v>
      </c>
      <c r="BT7" s="15" t="n">
        <f aca="false">IF(ISNUMBER($I$7),$I$7,$U$3)</f>
        <v>7</v>
      </c>
      <c r="BU7" s="15" t="n">
        <f aca="false">IF(BT7="","",IF(ISNUMBER($J$7),INT(((2*BT7+$J$7)/3*$U$21)+0.5+0.000000001),BT7*$U$21))</f>
        <v>28</v>
      </c>
      <c r="BV7" s="15" t="n">
        <f aca="false">IF(BU7="",0,IF(BU7&gt;=5*$U$21-0.000000001,1,0))</f>
        <v>1</v>
      </c>
      <c r="BW7" s="15" t="n">
        <f aca="false">IF(BU7="",0,IF(BU7&lt;0.000000001,1,0))</f>
        <v>0</v>
      </c>
      <c r="BX7" s="15" t="n">
        <f aca="false">IF(BU7="",0,IF(BU7&lt;1*$U$21-0.000000001,1,0))</f>
        <v>0</v>
      </c>
      <c r="BZ7" s="15" t="n">
        <f aca="false">IFERROR(LARGE($AH$6:$AK$25,6),0)</f>
        <v>0</v>
      </c>
      <c r="CA7" s="15" t="n">
        <f aca="false">CA6+BZ7</f>
        <v>0</v>
      </c>
      <c r="CB7" s="15" t="n">
        <f aca="false">IFERROR(LARGE($AM$6:$AP$25,6),0)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117</v>
      </c>
      <c r="C8" s="22"/>
      <c r="D8" s="23" t="s">
        <v>110</v>
      </c>
      <c r="E8" s="24"/>
      <c r="F8" s="24"/>
      <c r="G8" s="24"/>
      <c r="H8" s="24"/>
      <c r="I8" s="25"/>
      <c r="J8" s="24"/>
      <c r="L8" s="26" t="s">
        <v>118</v>
      </c>
      <c r="M8" s="28" t="str">
        <f aca="false">IF($U$4=0,"",$U$69)</f>
        <v/>
      </c>
      <c r="N8" s="29" t="s">
        <v>119</v>
      </c>
      <c r="T8" s="15" t="s">
        <v>120</v>
      </c>
      <c r="U8" s="15" t="n">
        <f aca="false">COUNTIF($AH$6:$AK$25,"&gt;=5")</f>
        <v>0</v>
      </c>
      <c r="V8" s="15" t="n">
        <f aca="false">COUNTIF($AM$6:$AP$25,"&gt;=5")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IF(BN8="","",IF(ISNUMBER($J$8),INT(((2*BN8+$J$8)/3*$U$21)+0.5+0.000000001),BN8*$U$21))</f>
        <v/>
      </c>
      <c r="BP8" s="15" t="n">
        <f aca="false">IF(BO8="",0,IF(BO8&gt;=5*$U$21-0.000000001,1,0))</f>
        <v>0</v>
      </c>
      <c r="BQ8" s="15" t="n">
        <f aca="false">IF(BO8="",0,IF(BO8&lt;0.000000001,1,0))</f>
        <v>0</v>
      </c>
      <c r="BR8" s="15" t="n">
        <f aca="false">IF(BO8="",0,IF(BO8&lt;1*$U$21-0.000000001,1,0))</f>
        <v>0</v>
      </c>
      <c r="BT8" s="15" t="n">
        <f aca="false">IF(ISNUMBER($I$8),$I$8,$U$3)</f>
        <v>7</v>
      </c>
      <c r="BU8" s="15" t="n">
        <f aca="false">IF(BT8="","",IF(ISNUMBER($J$8),INT(((2*BT8+$J$8)/3*$U$21)+0.5+0.000000001),BT8*$U$21))</f>
        <v>28</v>
      </c>
      <c r="BV8" s="15" t="n">
        <f aca="false">IF(BU8="",0,IF(BU8&gt;=5*$U$21-0.000000001,1,0))</f>
        <v>1</v>
      </c>
      <c r="BW8" s="15" t="n">
        <f aca="false">IF(BU8="",0,IF(BU8&lt;0.000000001,1,0))</f>
        <v>0</v>
      </c>
      <c r="BX8" s="15" t="n">
        <f aca="false">IF(BU8="",0,IF(BU8&lt;1*$U$21-0.000000001,1,0))</f>
        <v>0</v>
      </c>
      <c r="BZ8" s="15" t="n">
        <f aca="false">IFERROR(LARGE($AH$6:$AK$25,7),0)</f>
        <v>0</v>
      </c>
      <c r="CA8" s="15" t="n">
        <f aca="false">CA7+BZ8</f>
        <v>0</v>
      </c>
      <c r="CB8" s="15" t="n">
        <f aca="false">IFERROR(LARGE($AM$6:$AP$25,7),0)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121</v>
      </c>
      <c r="C9" s="22"/>
      <c r="D9" s="23" t="s">
        <v>110</v>
      </c>
      <c r="E9" s="24"/>
      <c r="F9" s="24"/>
      <c r="G9" s="24"/>
      <c r="H9" s="24"/>
      <c r="I9" s="25"/>
      <c r="J9" s="30" t="s">
        <v>122</v>
      </c>
      <c r="L9" s="31" t="s">
        <v>123</v>
      </c>
      <c r="M9" s="32" t="str">
        <f aca="false">IF($U$4=0,"",$U$75)</f>
        <v/>
      </c>
      <c r="N9" s="29" t="s">
        <v>124</v>
      </c>
      <c r="T9" s="15" t="s">
        <v>125</v>
      </c>
      <c r="U9" s="15" t="n">
        <f aca="false">BA6+BA7+BA8</f>
        <v>0</v>
      </c>
      <c r="V9" s="15" t="n">
        <f aca="false">BI6+BI7+BI8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IF(BN9="","",BN9*$U$21)</f>
        <v/>
      </c>
      <c r="BP9" s="15" t="n">
        <f aca="false">IF(BO9="",0,IF(BO9&gt;=5*$U$21-0.000000001,1,0))</f>
        <v>0</v>
      </c>
      <c r="BQ9" s="15" t="n">
        <f aca="false">IF(BO9="",0,IF(BO9&lt;0.000000001,1,0))</f>
        <v>0</v>
      </c>
      <c r="BR9" s="15" t="n">
        <f aca="false">IF(BO9="",0,IF(BO9&lt;1*$U$21-0.000000001,1,0))</f>
        <v>0</v>
      </c>
      <c r="BT9" s="15" t="n">
        <f aca="false">IF(ISNUMBER($I$9),$I$9,$U$3)</f>
        <v>7</v>
      </c>
      <c r="BU9" s="15" t="n">
        <f aca="false">IF(BT9="","",BT9*$U$21)</f>
        <v>28</v>
      </c>
      <c r="BV9" s="15" t="n">
        <f aca="false">IF(BU9="",0,IF(BU9&gt;=5*$U$21-0.000000001,1,0))</f>
        <v>1</v>
      </c>
      <c r="BW9" s="15" t="n">
        <f aca="false">IF(BU9="",0,IF(BU9&lt;0.000000001,1,0))</f>
        <v>0</v>
      </c>
      <c r="BX9" s="15" t="n">
        <f aca="false">IF(BU9="",0,IF(BU9&lt;1*$U$21-0.000000001,1,0))</f>
        <v>0</v>
      </c>
      <c r="BZ9" s="15" t="n">
        <f aca="false">IFERROR(LARGE($AH$6:$AK$25,8),0)</f>
        <v>0</v>
      </c>
      <c r="CA9" s="15" t="n">
        <f aca="false">CA8+BZ9</f>
        <v>0</v>
      </c>
      <c r="CB9" s="15" t="n">
        <f aca="false">IFERROR(LARGE($AM$6:$AP$25,8),0)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21" t="s">
        <v>126</v>
      </c>
      <c r="C10" s="22"/>
      <c r="D10" s="23" t="s">
        <v>110</v>
      </c>
      <c r="E10" s="24"/>
      <c r="F10" s="24"/>
      <c r="G10" s="24"/>
      <c r="H10" s="24"/>
      <c r="I10" s="25"/>
      <c r="J10" s="30" t="s">
        <v>122</v>
      </c>
      <c r="L10" s="31" t="s">
        <v>127</v>
      </c>
      <c r="M10" s="33" t="str">
        <f aca="false">IF($U$4=0,"",IF($U$77=1,$U$78/10,"nicht bestanden"))</f>
        <v/>
      </c>
      <c r="N10" s="29"/>
      <c r="T10" s="15" t="s">
        <v>128</v>
      </c>
      <c r="U10" s="15" t="n">
        <f aca="false">BA9+BA10+SUM($AB$12:$AB$25)</f>
        <v>0</v>
      </c>
      <c r="V10" s="15" t="n">
        <f aca="false">BI9+BI10+SUM($AF$12:$AF$25)</f>
        <v>0</v>
      </c>
      <c r="AR10" s="15" t="n">
        <f aca="false">IF(ISNUMBER(E10),1,0)</f>
        <v>0</v>
      </c>
      <c r="AS10" s="15" t="n">
        <f aca="false">IF(ISNUMBER(F10),1,0)</f>
        <v>0</v>
      </c>
      <c r="AT10" s="15" t="n">
        <f aca="false">IF(ISNUMBER(G10),1,0)</f>
        <v>0</v>
      </c>
      <c r="AU10" s="15" t="n">
        <f aca="false">IF(ISNUMBER(H10),1,0)</f>
        <v>0</v>
      </c>
      <c r="AW10" s="15" t="n">
        <f aca="false">SUM(E10:G10)</f>
        <v>0</v>
      </c>
      <c r="AX10" s="15" t="n">
        <f aca="false">SUM(H10:H10)</f>
        <v>0</v>
      </c>
      <c r="AY10" s="15" t="n">
        <f aca="false">COUNT(E10:G10)</f>
        <v>0</v>
      </c>
      <c r="AZ10" s="15" t="n">
        <f aca="false">COUNT(H10:H10)</f>
        <v>0</v>
      </c>
      <c r="BA10" s="15" t="n">
        <f aca="false">COUNTIF(E10:H10,"&lt;5")</f>
        <v>0</v>
      </c>
      <c r="BB10" s="15" t="n">
        <f aca="false">COUNTIF(E10:H10,0)</f>
        <v>0</v>
      </c>
      <c r="BC10" s="15" t="n">
        <f aca="false">4-COUNT(E10:H10)</f>
        <v>4</v>
      </c>
      <c r="BD10" s="15" t="n">
        <f aca="false">SUM(E10:H10)</f>
        <v>0</v>
      </c>
      <c r="BE10" s="15" t="n">
        <f aca="false">SUM(E10:G10)+$U$2*(3-COUNT(E10:G10))</f>
        <v>21</v>
      </c>
      <c r="BF10" s="15" t="n">
        <f aca="false">SUM(H10:H10)+$U$2*(1-COUNT(H10:H10))</f>
        <v>7</v>
      </c>
      <c r="BG10" s="15" t="n">
        <f aca="false">3</f>
        <v>3</v>
      </c>
      <c r="BH10" s="15" t="n">
        <f aca="false">1</f>
        <v>1</v>
      </c>
      <c r="BI10" s="15" t="n">
        <f aca="false">COUNTIF(E10:H10,"&lt;5")+IF($U$2&lt;5,1,0)*(4-COUNT(E10:H10))</f>
        <v>0</v>
      </c>
      <c r="BJ10" s="15" t="n">
        <f aca="false">COUNTIF(E10:H10,0)</f>
        <v>0</v>
      </c>
      <c r="BK10" s="15" t="n">
        <f aca="false">0</f>
        <v>0</v>
      </c>
      <c r="BL10" s="15" t="n">
        <f aca="false">SUM(E10:H10)+$U$2*(4-COUNT(E10:H10))</f>
        <v>28</v>
      </c>
      <c r="BN10" s="15" t="str">
        <f aca="false">IF(ISNUMBER($I$10),$I$10,"")</f>
        <v/>
      </c>
      <c r="BO10" s="15" t="str">
        <f aca="false">IF(BN10="","",BN10*$U$21)</f>
        <v/>
      </c>
      <c r="BP10" s="15" t="n">
        <f aca="false">IF(BO10="",0,IF(BO10&gt;=5*$U$21-0.000000001,1,0))</f>
        <v>0</v>
      </c>
      <c r="BQ10" s="15" t="n">
        <f aca="false">IF(BO10="",0,IF(BO10&lt;0.000000001,1,0))</f>
        <v>0</v>
      </c>
      <c r="BR10" s="15" t="n">
        <f aca="false">IF(BO10="",0,IF(BO10&lt;1*$U$21-0.000000001,1,0))</f>
        <v>0</v>
      </c>
      <c r="BT10" s="15" t="n">
        <f aca="false">IF(ISNUMBER($I$10),$I$10,$U$3)</f>
        <v>7</v>
      </c>
      <c r="BU10" s="15" t="n">
        <f aca="false">IF(BT10="","",BT10*$U$21)</f>
        <v>28</v>
      </c>
      <c r="BV10" s="15" t="n">
        <f aca="false">IF(BU10="",0,IF(BU10&gt;=5*$U$21-0.000000001,1,0))</f>
        <v>1</v>
      </c>
      <c r="BW10" s="15" t="n">
        <f aca="false">IF(BU10="",0,IF(BU10&lt;0.000000001,1,0))</f>
        <v>0</v>
      </c>
      <c r="BX10" s="15" t="n">
        <f aca="false">IF(BU10="",0,IF(BU10&lt;1*$U$21-0.000000001,1,0))</f>
        <v>0</v>
      </c>
      <c r="BZ10" s="15" t="n">
        <f aca="false">IFERROR(LARGE($AH$6:$AK$25,9),0)</f>
        <v>0</v>
      </c>
      <c r="CA10" s="15" t="n">
        <f aca="false">CA9+BZ10</f>
        <v>0</v>
      </c>
      <c r="CB10" s="15" t="n">
        <f aca="false">IFERROR(LARGE($AM$6:$AP$25,9),0)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6" t="s">
        <v>129</v>
      </c>
      <c r="C11" s="6" t="s">
        <v>74</v>
      </c>
      <c r="D11" s="34" t="s">
        <v>130</v>
      </c>
      <c r="E11" s="35" t="s">
        <v>75</v>
      </c>
      <c r="F11" s="35" t="s">
        <v>76</v>
      </c>
      <c r="G11" s="35" t="s">
        <v>77</v>
      </c>
      <c r="H11" s="35" t="s">
        <v>78</v>
      </c>
      <c r="I11" s="20"/>
      <c r="J11" s="20"/>
      <c r="L11" s="26" t="s">
        <v>131</v>
      </c>
      <c r="M11" s="28" t="str">
        <f aca="false">IF($U$4=0,"",IF($U$79="","–",$U$79))</f>
        <v/>
      </c>
      <c r="N11" s="29" t="str">
        <f aca="false">IF($U$4=0,"",IF($U$78="","Punkte bis 300",IF($U$79="","Bestnote erreicht","Punkte → "&amp;FIXED(($U$78-1)/10,1))))</f>
        <v/>
      </c>
      <c r="T11" s="15" t="s">
        <v>132</v>
      </c>
      <c r="U11" s="15" t="n">
        <f aca="false">AW9+AW10+AX9+AX10+SUM($Z$12:$Z$25)</f>
        <v>0</v>
      </c>
      <c r="V11" s="15" t="n">
        <f aca="false">BE9+BE10+BF9+BF10+SUM($AD$12:$AD$25)</f>
        <v>56</v>
      </c>
      <c r="X11" s="15" t="s">
        <v>133</v>
      </c>
      <c r="Y11" s="15" t="s">
        <v>134</v>
      </c>
      <c r="Z11" s="15" t="s">
        <v>135</v>
      </c>
      <c r="AA11" s="15" t="s">
        <v>136</v>
      </c>
      <c r="AB11" s="15" t="s">
        <v>89</v>
      </c>
      <c r="AC11" s="15" t="s">
        <v>90</v>
      </c>
      <c r="AD11" s="15" t="s">
        <v>137</v>
      </c>
      <c r="AE11" s="15" t="s">
        <v>138</v>
      </c>
      <c r="AF11" s="15" t="s">
        <v>97</v>
      </c>
      <c r="BZ11" s="15" t="n">
        <f aca="false">IFERROR(LARGE($AH$6:$AK$25,10),0)</f>
        <v>0</v>
      </c>
      <c r="CA11" s="15" t="n">
        <f aca="false">CA10+BZ11</f>
        <v>0</v>
      </c>
      <c r="CB11" s="15" t="n">
        <f aca="false">IFERROR(LARGE($AM$6:$AP$25,10),0)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139</v>
      </c>
      <c r="C12" s="37"/>
      <c r="D12" s="38"/>
      <c r="E12" s="24"/>
      <c r="F12" s="24"/>
      <c r="G12" s="24"/>
      <c r="H12" s="24"/>
      <c r="I12" s="39"/>
      <c r="J12" s="39"/>
      <c r="L12" s="26" t="s">
        <v>140</v>
      </c>
      <c r="M12" s="28" t="str">
        <f aca="false">IF(OR($U$4=0,$U$80=""),"",$U$80)</f>
        <v/>
      </c>
      <c r="N12" s="29" t="str">
        <f aca="false">IF(OR($U$4=0,$U$80=""),"","Punkte Luft")</f>
        <v/>
      </c>
      <c r="T12" s="15" t="s">
        <v>141</v>
      </c>
      <c r="U12" s="15" t="n">
        <f aca="false">BB6+BB7+BB8+BB9+BB10+SUM($AC$12:$AC$25)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IF(Y12=1,IF(ISNUMBER(E12),1,0),IF(AH12="",0,IF(IF($U$43=1,COUNTIF($AH$6:$AK$25,"&gt;"&amp;AH12),COUNTIF($AM$6:$AP$25,"&gt;"&amp;AH12))+COUNTIF($AH$6:$AK$11,AH12)+1&lt;=$U$53,1,0)))</f>
        <v>0</v>
      </c>
      <c r="AS12" s="15" t="n">
        <f aca="false">IF(Y12=1,IF(ISNUMBER(F12),1,0),IF(AI12="",0,IF(IF($U$43=1,COUNTIF($AH$6:$AK$25,"&gt;"&amp;AI12),COUNTIF($AM$6:$AP$25,"&gt;"&amp;AI12))+COUNTIF($AH$6:$AK$11,AI12)+COUNTIF($AH12:AH12,AI12)+1&lt;=$U$53,1,0)))</f>
        <v>0</v>
      </c>
      <c r="AT12" s="15" t="n">
        <f aca="false">IF(Y12=1,IF(ISNUMBER(G12),1,0),IF(AJ12="",0,IF(IF($U$43=1,COUNTIF($AH$6:$AK$25,"&gt;"&amp;AJ12),COUNTIF($AM$6:$AP$25,"&gt;"&amp;AJ12))+COUNTIF($AH$6:$AK$11,AJ12)+COUNTIF($AH12:AI12,AJ12)+1&lt;=$U$53,1,0)))</f>
        <v>0</v>
      </c>
      <c r="AU12" s="15" t="n">
        <f aca="false">IF(Y12=1,IF(ISNUMBER(H12),1,0),IF(AK12="",0,IF(IF($U$43=1,COUNTIF($AH$6:$AK$25,"&gt;"&amp;AK12),COUNTIF($AM$6:$AP$25,"&gt;"&amp;AK12))+COUNTIF($AH$6:$AK$11,AK12)+COUNTIF($AH12:AJ12,AK12)+1&lt;=$U$53,1,0)))</f>
        <v>0</v>
      </c>
      <c r="BZ12" s="15" t="n">
        <f aca="false">IFERROR(LARGE($AH$6:$AK$25,11),0)</f>
        <v>0</v>
      </c>
      <c r="CA12" s="15" t="n">
        <f aca="false">CA11+BZ12</f>
        <v>0</v>
      </c>
      <c r="CB12" s="15" t="n">
        <f aca="false">IFERROR(LARGE($AM$6:$AP$25,11),0)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142</v>
      </c>
      <c r="C13" s="37"/>
      <c r="D13" s="38"/>
      <c r="E13" s="24"/>
      <c r="F13" s="24"/>
      <c r="G13" s="24"/>
      <c r="H13" s="24"/>
      <c r="I13" s="39"/>
      <c r="J13" s="39"/>
      <c r="L13" s="26" t="s">
        <v>143</v>
      </c>
      <c r="M13" s="28" t="str">
        <f aca="false">IF($U$4=0,"",$U$45)</f>
        <v/>
      </c>
      <c r="N13" s="29" t="str">
        <f aca="false">IF($U$4=0,"","Summe der eingebrachten Punkte")</f>
        <v/>
      </c>
      <c r="T13" s="15" t="s">
        <v>144</v>
      </c>
      <c r="U13" s="15" t="str">
        <f aca="false">IF(ISNUMBER($E$27),$E$27,"")</f>
        <v/>
      </c>
      <c r="V13" s="15" t="n">
        <f aca="false">IF(ISNUMBER($E$27),$E$27,$U$2*30/15)</f>
        <v>14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IF(Y13=1,IF(ISNUMBER(E13),1,0),IF(AH13="",0,IF(IF($U$43=1,COUNTIF($AH$6:$AK$25,"&gt;"&amp;AH13),COUNTIF($AM$6:$AP$25,"&gt;"&amp;AH13))+COUNTIF($AH$6:$AK$12,AH13)+1&lt;=$U$53,1,0)))</f>
        <v>0</v>
      </c>
      <c r="AS13" s="15" t="n">
        <f aca="false">IF(Y13=1,IF(ISNUMBER(F13),1,0),IF(AI13="",0,IF(IF($U$43=1,COUNTIF($AH$6:$AK$25,"&gt;"&amp;AI13),COUNTIF($AM$6:$AP$25,"&gt;"&amp;AI13))+COUNTIF($AH$6:$AK$12,AI13)+COUNTIF($AH13:AH13,AI13)+1&lt;=$U$53,1,0)))</f>
        <v>0</v>
      </c>
      <c r="AT13" s="15" t="n">
        <f aca="false">IF(Y13=1,IF(ISNUMBER(G13),1,0),IF(AJ13="",0,IF(IF($U$43=1,COUNTIF($AH$6:$AK$25,"&gt;"&amp;AJ13),COUNTIF($AM$6:$AP$25,"&gt;"&amp;AJ13))+COUNTIF($AH$6:$AK$12,AJ13)+COUNTIF($AH13:AI13,AJ13)+1&lt;=$U$53,1,0)))</f>
        <v>0</v>
      </c>
      <c r="AU13" s="15" t="n">
        <f aca="false">IF(Y13=1,IF(ISNUMBER(H13),1,0),IF(AK13="",0,IF(IF($U$43=1,COUNTIF($AH$6:$AK$25,"&gt;"&amp;AK13),COUNTIF($AM$6:$AP$25,"&gt;"&amp;AK13))+COUNTIF($AH$6:$AK$12,AK13)+COUNTIF($AH13:AJ13,AK13)+1&lt;=$U$53,1,0)))</f>
        <v>0</v>
      </c>
      <c r="BZ13" s="15" t="n">
        <f aca="false">IFERROR(LARGE($AH$6:$AK$25,12),0)</f>
        <v>0</v>
      </c>
      <c r="CA13" s="15" t="n">
        <f aca="false">CA12+BZ13</f>
        <v>0</v>
      </c>
      <c r="CB13" s="15" t="n">
        <f aca="false">IFERROR(LARGE($AM$6:$AP$25,12),0)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145</v>
      </c>
      <c r="C14" s="37"/>
      <c r="D14" s="38"/>
      <c r="E14" s="24"/>
      <c r="F14" s="24"/>
      <c r="G14" s="24"/>
      <c r="H14" s="24"/>
      <c r="I14" s="39"/>
      <c r="J14" s="39"/>
      <c r="L14" s="26" t="s">
        <v>146</v>
      </c>
      <c r="M14" s="28" t="str">
        <f aca="false">IF($U$4=0,"",$U$46)</f>
        <v/>
      </c>
      <c r="N14" s="29" t="str">
        <f aca="false">IF($U$4=0,"","erlaubt: höchstens "&amp;$U$47)</f>
        <v/>
      </c>
      <c r="T14" s="15" t="s">
        <v>147</v>
      </c>
      <c r="U14" s="15" t="n">
        <f aca="false">IF(ISNUMBER($U$13),1,0)</f>
        <v>0</v>
      </c>
      <c r="V14" s="15" t="n">
        <f aca="false">IF(ISNUMBER($V$13),1,0)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IF(Y14=1,IF(ISNUMBER(E14),1,0),IF(AH14="",0,IF(IF($U$43=1,COUNTIF($AH$6:$AK$25,"&gt;"&amp;AH14),COUNTIF($AM$6:$AP$25,"&gt;"&amp;AH14))+COUNTIF($AH$6:$AK$13,AH14)+1&lt;=$U$53,1,0)))</f>
        <v>0</v>
      </c>
      <c r="AS14" s="15" t="n">
        <f aca="false">IF(Y14=1,IF(ISNUMBER(F14),1,0),IF(AI14="",0,IF(IF($U$43=1,COUNTIF($AH$6:$AK$25,"&gt;"&amp;AI14),COUNTIF($AM$6:$AP$25,"&gt;"&amp;AI14))+COUNTIF($AH$6:$AK$13,AI14)+COUNTIF($AH14:AH14,AI14)+1&lt;=$U$53,1,0)))</f>
        <v>0</v>
      </c>
      <c r="AT14" s="15" t="n">
        <f aca="false">IF(Y14=1,IF(ISNUMBER(G14),1,0),IF(AJ14="",0,IF(IF($U$43=1,COUNTIF($AH$6:$AK$25,"&gt;"&amp;AJ14),COUNTIF($AM$6:$AP$25,"&gt;"&amp;AJ14))+COUNTIF($AH$6:$AK$13,AJ14)+COUNTIF($AH14:AI14,AJ14)+1&lt;=$U$53,1,0)))</f>
        <v>0</v>
      </c>
      <c r="AU14" s="15" t="n">
        <f aca="false">IF(Y14=1,IF(ISNUMBER(H14),1,0),IF(AK14="",0,IF(IF($U$43=1,COUNTIF($AH$6:$AK$25,"&gt;"&amp;AK14),COUNTIF($AM$6:$AP$25,"&gt;"&amp;AK14))+COUNTIF($AH$6:$AK$13,AK14)+COUNTIF($AH14:AJ14,AK14)+1&lt;=$U$53,1,0)))</f>
        <v>0</v>
      </c>
      <c r="BZ14" s="15" t="n">
        <f aca="false">IFERROR(LARGE($AH$6:$AK$25,13),0)</f>
        <v>0</v>
      </c>
      <c r="CA14" s="15" t="n">
        <f aca="false">CA13+BZ14</f>
        <v>0</v>
      </c>
      <c r="CB14" s="15" t="n">
        <f aca="false">IFERROR(LARGE($AM$6:$AP$25,13),0)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148</v>
      </c>
      <c r="C15" s="37"/>
      <c r="D15" s="38"/>
      <c r="E15" s="24"/>
      <c r="F15" s="24"/>
      <c r="G15" s="24"/>
      <c r="H15" s="24"/>
      <c r="I15" s="39"/>
      <c r="J15" s="39"/>
      <c r="L15" s="26" t="s">
        <v>149</v>
      </c>
      <c r="M15" s="28" t="str">
        <f aca="false">IF($U$4=0,"","+"&amp;$U$21)</f>
        <v/>
      </c>
      <c r="N15" s="29" t="s">
        <v>150</v>
      </c>
      <c r="T15" s="15" t="s">
        <v>151</v>
      </c>
      <c r="U15" s="15" t="n">
        <f aca="false">1-$U$14</f>
        <v>1</v>
      </c>
      <c r="V15" s="15" t="n">
        <f aca="false">0</f>
        <v>0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IF(Y15=1,IF(ISNUMBER(E15),1,0),IF(AH15="",0,IF(IF($U$43=1,COUNTIF($AH$6:$AK$25,"&gt;"&amp;AH15),COUNTIF($AM$6:$AP$25,"&gt;"&amp;AH15))+COUNTIF($AH$6:$AK$14,AH15)+1&lt;=$U$53,1,0)))</f>
        <v>0</v>
      </c>
      <c r="AS15" s="15" t="n">
        <f aca="false">IF(Y15=1,IF(ISNUMBER(F15),1,0),IF(AI15="",0,IF(IF($U$43=1,COUNTIF($AH$6:$AK$25,"&gt;"&amp;AI15),COUNTIF($AM$6:$AP$25,"&gt;"&amp;AI15))+COUNTIF($AH$6:$AK$14,AI15)+COUNTIF($AH15:AH15,AI15)+1&lt;=$U$53,1,0)))</f>
        <v>0</v>
      </c>
      <c r="AT15" s="15" t="n">
        <f aca="false">IF(Y15=1,IF(ISNUMBER(G15),1,0),IF(AJ15="",0,IF(IF($U$43=1,COUNTIF($AH$6:$AK$25,"&gt;"&amp;AJ15),COUNTIF($AM$6:$AP$25,"&gt;"&amp;AJ15))+COUNTIF($AH$6:$AK$14,AJ15)+COUNTIF($AH15:AI15,AJ15)+1&lt;=$U$53,1,0)))</f>
        <v>0</v>
      </c>
      <c r="AU15" s="15" t="n">
        <f aca="false">IF(Y15=1,IF(ISNUMBER(H15),1,0),IF(AK15="",0,IF(IF($U$43=1,COUNTIF($AH$6:$AK$25,"&gt;"&amp;AK15),COUNTIF($AM$6:$AP$25,"&gt;"&amp;AK15))+COUNTIF($AH$6:$AK$14,AK15)+COUNTIF($AH15:AJ15,AK15)+1&lt;=$U$53,1,0)))</f>
        <v>0</v>
      </c>
      <c r="BZ15" s="15" t="n">
        <f aca="false">IFERROR(LARGE($AH$6:$AK$25,14),0)</f>
        <v>0</v>
      </c>
      <c r="CA15" s="15" t="n">
        <f aca="false">CA14+BZ15</f>
        <v>0</v>
      </c>
      <c r="CB15" s="15" t="n">
        <f aca="false">IFERROR(LARGE($AM$6:$AP$25,14),0)</f>
        <v>0</v>
      </c>
      <c r="CC15" s="15" t="n">
        <f aca="false">CC14+CB15</f>
        <v>0</v>
      </c>
    </row>
    <row r="16" customFormat="false" ht="22.35" hidden="false" customHeight="false" outlineLevel="0" collapsed="false">
      <c r="B16" s="36" t="s">
        <v>152</v>
      </c>
      <c r="C16" s="37"/>
      <c r="D16" s="38"/>
      <c r="E16" s="24"/>
      <c r="F16" s="24"/>
      <c r="G16" s="24"/>
      <c r="H16" s="24"/>
      <c r="I16" s="39"/>
      <c r="J16" s="39"/>
      <c r="L16" s="26" t="s">
        <v>153</v>
      </c>
      <c r="M16" s="28" t="str">
        <f aca="false">IF($U$4=0,"","+1")</f>
        <v/>
      </c>
      <c r="N16" s="29" t="s">
        <v>154</v>
      </c>
      <c r="T16" s="15" t="s">
        <v>155</v>
      </c>
      <c r="U16" s="15" t="n">
        <f aca="false">IF(AND($U$14=1,N($U$13)&lt;9),2,0)</f>
        <v>0</v>
      </c>
      <c r="V16" s="15" t="n">
        <f aca="false">IF(AND($V$14=1,N($V$13)&lt;9),2,0)</f>
        <v>0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IF(Y16=1,IF(ISNUMBER(E16),1,0),IF(AH16="",0,IF(IF($U$43=1,COUNTIF($AH$6:$AK$25,"&gt;"&amp;AH16),COUNTIF($AM$6:$AP$25,"&gt;"&amp;AH16))+COUNTIF($AH$6:$AK$15,AH16)+1&lt;=$U$53,1,0)))</f>
        <v>0</v>
      </c>
      <c r="AS16" s="15" t="n">
        <f aca="false">IF(Y16=1,IF(ISNUMBER(F16),1,0),IF(AI16="",0,IF(IF($U$43=1,COUNTIF($AH$6:$AK$25,"&gt;"&amp;AI16),COUNTIF($AM$6:$AP$25,"&gt;"&amp;AI16))+COUNTIF($AH$6:$AK$15,AI16)+COUNTIF($AH16:AH16,AI16)+1&lt;=$U$53,1,0)))</f>
        <v>0</v>
      </c>
      <c r="AT16" s="15" t="n">
        <f aca="false">IF(Y16=1,IF(ISNUMBER(G16),1,0),IF(AJ16="",0,IF(IF($U$43=1,COUNTIF($AH$6:$AK$25,"&gt;"&amp;AJ16),COUNTIF($AM$6:$AP$25,"&gt;"&amp;AJ16))+COUNTIF($AH$6:$AK$15,AJ16)+COUNTIF($AH16:AI16,AJ16)+1&lt;=$U$53,1,0)))</f>
        <v>0</v>
      </c>
      <c r="AU16" s="15" t="n">
        <f aca="false">IF(Y16=1,IF(ISNUMBER(H16),1,0),IF(AK16="",0,IF(IF($U$43=1,COUNTIF($AH$6:$AK$25,"&gt;"&amp;AK16),COUNTIF($AM$6:$AP$25,"&gt;"&amp;AK16))+COUNTIF($AH$6:$AK$15,AK16)+COUNTIF($AH16:AJ16,AK16)+1&lt;=$U$53,1,0)))</f>
        <v>0</v>
      </c>
      <c r="BZ16" s="15" t="n">
        <f aca="false">IFERROR(LARGE($AH$6:$AK$25,15),0)</f>
        <v>0</v>
      </c>
      <c r="CA16" s="15" t="n">
        <f aca="false">CA15+BZ16</f>
        <v>0</v>
      </c>
      <c r="CB16" s="15" t="n">
        <f aca="false">IFERROR(LARGE($AM$6:$AP$25,15),0)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156</v>
      </c>
      <c r="C17" s="37"/>
      <c r="D17" s="38"/>
      <c r="E17" s="24"/>
      <c r="F17" s="24"/>
      <c r="G17" s="24"/>
      <c r="H17" s="24"/>
      <c r="I17" s="39"/>
      <c r="J17" s="39"/>
      <c r="T17" s="15" t="s">
        <v>157</v>
      </c>
      <c r="U17" s="15" t="n">
        <f aca="false">BD6+BD7+BD8</f>
        <v>0</v>
      </c>
      <c r="V17" s="15" t="n">
        <f aca="false">BL6+BL7+BL8</f>
        <v>84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IF(Y17=1,IF(ISNUMBER(E17),1,0),IF(AH17="",0,IF(IF($U$43=1,COUNTIF($AH$6:$AK$25,"&gt;"&amp;AH17),COUNTIF($AM$6:$AP$25,"&gt;"&amp;AH17))+COUNTIF($AH$6:$AK$16,AH17)+1&lt;=$U$53,1,0)))</f>
        <v>0</v>
      </c>
      <c r="AS17" s="15" t="n">
        <f aca="false">IF(Y17=1,IF(ISNUMBER(F17),1,0),IF(AI17="",0,IF(IF($U$43=1,COUNTIF($AH$6:$AK$25,"&gt;"&amp;AI17),COUNTIF($AM$6:$AP$25,"&gt;"&amp;AI17))+COUNTIF($AH$6:$AK$16,AI17)+COUNTIF($AH17:AH17,AI17)+1&lt;=$U$53,1,0)))</f>
        <v>0</v>
      </c>
      <c r="AT17" s="15" t="n">
        <f aca="false">IF(Y17=1,IF(ISNUMBER(G17),1,0),IF(AJ17="",0,IF(IF($U$43=1,COUNTIF($AH$6:$AK$25,"&gt;"&amp;AJ17),COUNTIF($AM$6:$AP$25,"&gt;"&amp;AJ17))+COUNTIF($AH$6:$AK$16,AJ17)+COUNTIF($AH17:AI17,AJ17)+1&lt;=$U$53,1,0)))</f>
        <v>0</v>
      </c>
      <c r="AU17" s="15" t="n">
        <f aca="false">IF(Y17=1,IF(ISNUMBER(H17),1,0),IF(AK17="",0,IF(IF($U$43=1,COUNTIF($AH$6:$AK$25,"&gt;"&amp;AK17),COUNTIF($AM$6:$AP$25,"&gt;"&amp;AK17))+COUNTIF($AH$6:$AK$16,AK17)+COUNTIF($AH17:AJ17,AK17)+1&lt;=$U$53,1,0)))</f>
        <v>0</v>
      </c>
      <c r="BZ17" s="15" t="n">
        <f aca="false">IFERROR(LARGE($AH$6:$AK$25,16),0)</f>
        <v>0</v>
      </c>
      <c r="CA17" s="15" t="n">
        <f aca="false">CA16+BZ17</f>
        <v>0</v>
      </c>
      <c r="CB17" s="15" t="n">
        <f aca="false">IFERROR(LARGE($AM$6:$AP$25,16),0)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158</v>
      </c>
      <c r="C18" s="37"/>
      <c r="D18" s="38"/>
      <c r="E18" s="24"/>
      <c r="F18" s="24"/>
      <c r="G18" s="24"/>
      <c r="H18" s="24"/>
      <c r="I18" s="39"/>
      <c r="J18" s="39"/>
      <c r="L18" s="40" t="s">
        <v>159</v>
      </c>
      <c r="M18" s="41" t="s">
        <v>111</v>
      </c>
      <c r="N18" s="6" t="s">
        <v>160</v>
      </c>
      <c r="T18" s="15" t="s">
        <v>161</v>
      </c>
      <c r="U18" s="15" t="n">
        <f aca="false">BD6+BD7+BD8+BD9+BD10</f>
        <v>0</v>
      </c>
      <c r="V18" s="15" t="n">
        <f aca="false">BL6+BL7+BL8+BL9+BL10</f>
        <v>140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IF(Y18=1,IF(ISNUMBER(E18),1,0),IF(AH18="",0,IF(IF($U$43=1,COUNTIF($AH$6:$AK$25,"&gt;"&amp;AH18),COUNTIF($AM$6:$AP$25,"&gt;"&amp;AH18))+COUNTIF($AH$6:$AK$17,AH18)+1&lt;=$U$53,1,0)))</f>
        <v>0</v>
      </c>
      <c r="AS18" s="15" t="n">
        <f aca="false">IF(Y18=1,IF(ISNUMBER(F18),1,0),IF(AI18="",0,IF(IF($U$43=1,COUNTIF($AH$6:$AK$25,"&gt;"&amp;AI18),COUNTIF($AM$6:$AP$25,"&gt;"&amp;AI18))+COUNTIF($AH$6:$AK$17,AI18)+COUNTIF($AH18:AH18,AI18)+1&lt;=$U$53,1,0)))</f>
        <v>0</v>
      </c>
      <c r="AT18" s="15" t="n">
        <f aca="false">IF(Y18=1,IF(ISNUMBER(G18),1,0),IF(AJ18="",0,IF(IF($U$43=1,COUNTIF($AH$6:$AK$25,"&gt;"&amp;AJ18),COUNTIF($AM$6:$AP$25,"&gt;"&amp;AJ18))+COUNTIF($AH$6:$AK$17,AJ18)+COUNTIF($AH18:AI18,AJ18)+1&lt;=$U$53,1,0)))</f>
        <v>0</v>
      </c>
      <c r="AU18" s="15" t="n">
        <f aca="false">IF(Y18=1,IF(ISNUMBER(H18),1,0),IF(AK18="",0,IF(IF($U$43=1,COUNTIF($AH$6:$AK$25,"&gt;"&amp;AK18),COUNTIF($AM$6:$AP$25,"&gt;"&amp;AK18))+COUNTIF($AH$6:$AK$17,AK18)+COUNTIF($AH18:AJ18,AK18)+1&lt;=$U$53,1,0)))</f>
        <v>0</v>
      </c>
      <c r="BZ18" s="15" t="n">
        <f aca="false">IFERROR(LARGE($AH$6:$AK$25,17),0)</f>
        <v>0</v>
      </c>
      <c r="CA18" s="15" t="n">
        <f aca="false">CA17+BZ18</f>
        <v>0</v>
      </c>
      <c r="CB18" s="15" t="n">
        <f aca="false">IFERROR(LARGE($AM$6:$AP$25,17),0)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162</v>
      </c>
      <c r="C19" s="37"/>
      <c r="D19" s="38"/>
      <c r="E19" s="24"/>
      <c r="F19" s="24"/>
      <c r="G19" s="24"/>
      <c r="H19" s="24"/>
      <c r="I19" s="39"/>
      <c r="J19" s="39"/>
      <c r="L19" s="42" t="s">
        <v>163</v>
      </c>
      <c r="M19" s="43" t="str">
        <f aca="false">IF($U$4=0,"",IF($U$55=1,"✓ erfüllt","✗ nicht erfüllt"))</f>
        <v/>
      </c>
      <c r="N19" s="36" t="str">
        <f aca="false">IF($U$4=0,"",$U$44&amp;" Punkte")</f>
        <v/>
      </c>
      <c r="T19" s="15" t="s">
        <v>164</v>
      </c>
      <c r="U19" s="15" t="n">
        <f aca="false">MATCH(MAX($DH$3:$DH$3),$DH$3:$DH$3,0)</f>
        <v>1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IF(Y19=1,IF(ISNUMBER(E19),1,0),IF(AH19="",0,IF(IF($U$43=1,COUNTIF($AH$6:$AK$25,"&gt;"&amp;AH19),COUNTIF($AM$6:$AP$25,"&gt;"&amp;AH19))+COUNTIF($AH$6:$AK$18,AH19)+1&lt;=$U$53,1,0)))</f>
        <v>0</v>
      </c>
      <c r="AS19" s="15" t="n">
        <f aca="false">IF(Y19=1,IF(ISNUMBER(F19),1,0),IF(AI19="",0,IF(IF($U$43=1,COUNTIF($AH$6:$AK$25,"&gt;"&amp;AI19),COUNTIF($AM$6:$AP$25,"&gt;"&amp;AI19))+COUNTIF($AH$6:$AK$18,AI19)+COUNTIF($AH19:AH19,AI19)+1&lt;=$U$53,1,0)))</f>
        <v>0</v>
      </c>
      <c r="AT19" s="15" t="n">
        <f aca="false">IF(Y19=1,IF(ISNUMBER(G19),1,0),IF(AJ19="",0,IF(IF($U$43=1,COUNTIF($AH$6:$AK$25,"&gt;"&amp;AJ19),COUNTIF($AM$6:$AP$25,"&gt;"&amp;AJ19))+COUNTIF($AH$6:$AK$18,AJ19)+COUNTIF($AH19:AI19,AJ19)+1&lt;=$U$53,1,0)))</f>
        <v>0</v>
      </c>
      <c r="AU19" s="15" t="n">
        <f aca="false">IF(Y19=1,IF(ISNUMBER(H19),1,0),IF(AK19="",0,IF(IF($U$43=1,COUNTIF($AH$6:$AK$25,"&gt;"&amp;AK19),COUNTIF($AM$6:$AP$25,"&gt;"&amp;AK19))+COUNTIF($AH$6:$AK$18,AK19)+COUNTIF($AH19:AJ19,AK19)+1&lt;=$U$53,1,0)))</f>
        <v>0</v>
      </c>
      <c r="BZ19" s="15" t="n">
        <f aca="false">IFERROR(LARGE($AH$6:$AK$25,18),0)</f>
        <v>0</v>
      </c>
      <c r="CA19" s="15" t="n">
        <f aca="false">CA18+BZ19</f>
        <v>0</v>
      </c>
      <c r="CB19" s="15" t="n">
        <f aca="false">IFERROR(LARGE($AM$6:$AP$25,18),0)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165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"&amp;$U$47&amp;" Unterkurse (unter 5 Punkten)"</f>
        <v>Höchstens 8 Unterkurse (unter 5 Punkten)</v>
      </c>
      <c r="M20" s="43" t="str">
        <f aca="false">IF($U$4=0,"",IF($U$56=1,"✓ erfüllt","✗ nicht erfüllt"))</f>
        <v/>
      </c>
      <c r="N20" s="36" t="str">
        <f aca="false">IF($U$4=0,"",$U$46&amp;" Unterkurse")</f>
        <v/>
      </c>
      <c r="T20" s="15" t="s">
        <v>166</v>
      </c>
      <c r="U20" s="15" t="n">
        <f aca="false">MATCH(MAX($DH$23:$DH$23),$DH$23:$DH$23,0)</f>
        <v>1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IF(Y20=1,IF(ISNUMBER(E20),1,0),IF(AH20="",0,IF(IF($U$43=1,COUNTIF($AH$6:$AK$25,"&gt;"&amp;AH20),COUNTIF($AM$6:$AP$25,"&gt;"&amp;AH20))+COUNTIF($AH$6:$AK$19,AH20)+1&lt;=$U$53,1,0)))</f>
        <v>0</v>
      </c>
      <c r="AS20" s="15" t="n">
        <f aca="false">IF(Y20=1,IF(ISNUMBER(F20),1,0),IF(AI20="",0,IF(IF($U$43=1,COUNTIF($AH$6:$AK$25,"&gt;"&amp;AI20),COUNTIF($AM$6:$AP$25,"&gt;"&amp;AI20))+COUNTIF($AH$6:$AK$19,AI20)+COUNTIF($AH20:AH20,AI20)+1&lt;=$U$53,1,0)))</f>
        <v>0</v>
      </c>
      <c r="AT20" s="15" t="n">
        <f aca="false">IF(Y20=1,IF(ISNUMBER(G20),1,0),IF(AJ20="",0,IF(IF($U$43=1,COUNTIF($AH$6:$AK$25,"&gt;"&amp;AJ20),COUNTIF($AM$6:$AP$25,"&gt;"&amp;AJ20))+COUNTIF($AH$6:$AK$19,AJ20)+COUNTIF($AH20:AI20,AJ20)+1&lt;=$U$53,1,0)))</f>
        <v>0</v>
      </c>
      <c r="AU20" s="15" t="n">
        <f aca="false">IF(Y20=1,IF(ISNUMBER(H20),1,0),IF(AK20="",0,IF(IF($U$43=1,COUNTIF($AH$6:$AK$25,"&gt;"&amp;AK20),COUNTIF($AM$6:$AP$25,"&gt;"&amp;AK20))+COUNTIF($AH$6:$AK$19,AK20)+COUNTIF($AH20:AJ20,AK20)+1&lt;=$U$53,1,0)))</f>
        <v>0</v>
      </c>
      <c r="BZ20" s="15" t="n">
        <f aca="false">IFERROR(LARGE($AH$6:$AK$25,19),0)</f>
        <v>0</v>
      </c>
      <c r="CA20" s="15" t="n">
        <f aca="false">CA19+BZ20</f>
        <v>0</v>
      </c>
      <c r="CB20" s="15" t="n">
        <f aca="false">IFERROR(LARGE($AM$6:$AP$25,19),0)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167</v>
      </c>
      <c r="C21" s="37"/>
      <c r="D21" s="38"/>
      <c r="E21" s="24"/>
      <c r="F21" s="24"/>
      <c r="G21" s="24"/>
      <c r="H21" s="24"/>
      <c r="I21" s="39"/>
      <c r="J21" s="39"/>
      <c r="L21" s="42" t="s">
        <v>168</v>
      </c>
      <c r="M21" s="43" t="str">
        <f aca="false">IF($U$4=0,"",IF($U$61=1,"✓ erfüllt","✗ nicht erfüllt"))</f>
        <v/>
      </c>
      <c r="N21" s="36" t="str">
        <f aca="false">IF($U$4=0,"",$U$12&amp;" mit 0 Punkten")</f>
        <v/>
      </c>
      <c r="T21" s="15" t="s">
        <v>169</v>
      </c>
      <c r="U21" s="15" t="n">
        <f aca="false">4</f>
        <v>4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IF(Y21=1,IF(ISNUMBER(E21),1,0),IF(AH21="",0,IF(IF($U$43=1,COUNTIF($AH$6:$AK$25,"&gt;"&amp;AH21),COUNTIF($AM$6:$AP$25,"&gt;"&amp;AH21))+COUNTIF($AH$6:$AK$20,AH21)+1&lt;=$U$53,1,0)))</f>
        <v>0</v>
      </c>
      <c r="AS21" s="15" t="n">
        <f aca="false">IF(Y21=1,IF(ISNUMBER(F21),1,0),IF(AI21="",0,IF(IF($U$43=1,COUNTIF($AH$6:$AK$25,"&gt;"&amp;AI21),COUNTIF($AM$6:$AP$25,"&gt;"&amp;AI21))+COUNTIF($AH$6:$AK$20,AI21)+COUNTIF($AH21:AH21,AI21)+1&lt;=$U$53,1,0)))</f>
        <v>0</v>
      </c>
      <c r="AT21" s="15" t="n">
        <f aca="false">IF(Y21=1,IF(ISNUMBER(G21),1,0),IF(AJ21="",0,IF(IF($U$43=1,COUNTIF($AH$6:$AK$25,"&gt;"&amp;AJ21),COUNTIF($AM$6:$AP$25,"&gt;"&amp;AJ21))+COUNTIF($AH$6:$AK$20,AJ21)+COUNTIF($AH21:AI21,AJ21)+1&lt;=$U$53,1,0)))</f>
        <v>0</v>
      </c>
      <c r="AU21" s="15" t="n">
        <f aca="false">IF(Y21=1,IF(ISNUMBER(H21),1,0),IF(AK21="",0,IF(IF($U$43=1,COUNTIF($AH$6:$AK$25,"&gt;"&amp;AK21),COUNTIF($AM$6:$AP$25,"&gt;"&amp;AK21))+COUNTIF($AH$6:$AK$20,AK21)+COUNTIF($AH21:AJ21,AK21)+1&lt;=$U$53,1,0)))</f>
        <v>0</v>
      </c>
      <c r="BZ21" s="15" t="n">
        <f aca="false">IFERROR(LARGE($AH$6:$AK$25,20),0)</f>
        <v>0</v>
      </c>
      <c r="CA21" s="15" t="n">
        <f aca="false">CA20+BZ21</f>
        <v>0</v>
      </c>
      <c r="CB21" s="15" t="n">
        <f aca="false">IFERROR(LARGE($AM$6:$AP$25,20),0)</f>
        <v>0</v>
      </c>
      <c r="CC21" s="15" t="n">
        <f aca="false">CC20+CB21</f>
        <v>0</v>
      </c>
    </row>
    <row r="22" customFormat="false" ht="22.35" hidden="false" customHeight="false" outlineLevel="0" collapsed="false">
      <c r="B22" s="36" t="s">
        <v>170</v>
      </c>
      <c r="C22" s="37"/>
      <c r="D22" s="38"/>
      <c r="E22" s="24"/>
      <c r="F22" s="24"/>
      <c r="G22" s="24"/>
      <c r="H22" s="24"/>
      <c r="I22" s="39"/>
      <c r="J22" s="39"/>
      <c r="L22" s="42" t="s">
        <v>171</v>
      </c>
      <c r="M22" s="43" t="str">
        <f aca="false">IF($U$4=0,"",IF($U$62=1,"✓ erfüllt","✗ nicht erfüllt"))</f>
        <v/>
      </c>
      <c r="N22" s="36" t="str">
        <f aca="false">IF($U$4=0,"",ROUND($U$67,0)&amp;" Punkte")</f>
        <v/>
      </c>
      <c r="T22" s="15" t="s">
        <v>172</v>
      </c>
      <c r="U22" s="15" t="n">
        <f aca="false">MIN(300,INT((SUM(BO6,BO7,BO8,BO9,BO10))+0.5+0.000000001))</f>
        <v>0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IF(Y22=1,IF(ISNUMBER(E22),1,0),IF(AH22="",0,IF(IF($U$43=1,COUNTIF($AH$6:$AK$25,"&gt;"&amp;AH22),COUNTIF($AM$6:$AP$25,"&gt;"&amp;AH22))+COUNTIF($AH$6:$AK$21,AH22)+1&lt;=$U$53,1,0)))</f>
        <v>0</v>
      </c>
      <c r="AS22" s="15" t="n">
        <f aca="false">IF(Y22=1,IF(ISNUMBER(F22),1,0),IF(AI22="",0,IF(IF($U$43=1,COUNTIF($AH$6:$AK$25,"&gt;"&amp;AI22),COUNTIF($AM$6:$AP$25,"&gt;"&amp;AI22))+COUNTIF($AH$6:$AK$21,AI22)+COUNTIF($AH22:AH22,AI22)+1&lt;=$U$53,1,0)))</f>
        <v>0</v>
      </c>
      <c r="AT22" s="15" t="n">
        <f aca="false">IF(Y22=1,IF(ISNUMBER(G22),1,0),IF(AJ22="",0,IF(IF($U$43=1,COUNTIF($AH$6:$AK$25,"&gt;"&amp;AJ22),COUNTIF($AM$6:$AP$25,"&gt;"&amp;AJ22))+COUNTIF($AH$6:$AK$21,AJ22)+COUNTIF($AH22:AI22,AJ22)+1&lt;=$U$53,1,0)))</f>
        <v>0</v>
      </c>
      <c r="AU22" s="15" t="n">
        <f aca="false">IF(Y22=1,IF(ISNUMBER(H22),1,0),IF(AK22="",0,IF(IF($U$43=1,COUNTIF($AH$6:$AK$25,"&gt;"&amp;AK22),COUNTIF($AM$6:$AP$25,"&gt;"&amp;AK22))+COUNTIF($AH$6:$AK$21,AK22)+COUNTIF($AH22:AJ22,AK22)+1&lt;=$U$53,1,0)))</f>
        <v>0</v>
      </c>
      <c r="BZ22" s="15" t="n">
        <f aca="false">IFERROR(LARGE($AH$6:$AK$25,21),0)</f>
        <v>0</v>
      </c>
      <c r="CA22" s="15" t="n">
        <f aca="false">CA21+BZ22</f>
        <v>0</v>
      </c>
      <c r="CB22" s="15" t="n">
        <f aca="false">IFERROR(LARGE($AM$6:$AP$25,21),0)</f>
        <v>0</v>
      </c>
      <c r="CC22" s="15" t="n">
        <f aca="false">CC21+CB22</f>
        <v>0</v>
      </c>
      <c r="CE22" s="15" t="s">
        <v>41</v>
      </c>
      <c r="CF22" s="15" t="s">
        <v>42</v>
      </c>
      <c r="CG22" s="15" t="s">
        <v>43</v>
      </c>
      <c r="CH22" s="15" t="s">
        <v>44</v>
      </c>
      <c r="CI22" s="15" t="s">
        <v>45</v>
      </c>
      <c r="CJ22" s="15" t="s">
        <v>46</v>
      </c>
      <c r="CK22" s="15" t="s">
        <v>47</v>
      </c>
      <c r="CL22" s="15" t="s">
        <v>48</v>
      </c>
      <c r="CM22" s="15" t="s">
        <v>49</v>
      </c>
      <c r="CN22" s="15" t="s">
        <v>50</v>
      </c>
      <c r="CO22" s="15" t="s">
        <v>51</v>
      </c>
      <c r="CP22" s="15" t="s">
        <v>52</v>
      </c>
      <c r="CQ22" s="15" t="s">
        <v>53</v>
      </c>
      <c r="CR22" s="15" t="s">
        <v>54</v>
      </c>
      <c r="CS22" s="15" t="s">
        <v>55</v>
      </c>
      <c r="CT22" s="15" t="s">
        <v>56</v>
      </c>
      <c r="CU22" s="15" t="s">
        <v>57</v>
      </c>
      <c r="CV22" s="15" t="s">
        <v>58</v>
      </c>
      <c r="CW22" s="15" t="s">
        <v>59</v>
      </c>
      <c r="CX22" s="15" t="s">
        <v>60</v>
      </c>
      <c r="CY22" s="15" t="s">
        <v>61</v>
      </c>
      <c r="CZ22" s="15" t="s">
        <v>62</v>
      </c>
      <c r="DA22" s="15" t="s">
        <v>63</v>
      </c>
      <c r="DB22" s="15" t="s">
        <v>64</v>
      </c>
      <c r="DC22" s="15" t="s">
        <v>65</v>
      </c>
      <c r="DD22" s="15" t="s">
        <v>66</v>
      </c>
      <c r="DE22" s="15" t="s">
        <v>67</v>
      </c>
      <c r="DF22" s="15" t="s">
        <v>68</v>
      </c>
      <c r="DG22" s="15" t="s">
        <v>69</v>
      </c>
      <c r="DH22" s="15" t="s">
        <v>70</v>
      </c>
    </row>
    <row r="23" customFormat="false" ht="22.35" hidden="false" customHeight="false" outlineLevel="0" collapsed="false">
      <c r="B23" s="36" t="s">
        <v>173</v>
      </c>
      <c r="C23" s="37"/>
      <c r="D23" s="38"/>
      <c r="E23" s="24"/>
      <c r="F23" s="24"/>
      <c r="G23" s="24"/>
      <c r="H23" s="24"/>
      <c r="I23" s="39"/>
      <c r="J23" s="39"/>
      <c r="L23" s="42" t="s">
        <v>174</v>
      </c>
      <c r="M23" s="43" t="str">
        <f aca="false">IF($U$4=0,"",IF($U$63=1,"✓ erfüllt","✗ nicht erfüllt"))</f>
        <v/>
      </c>
      <c r="N23" s="36" t="str">
        <f aca="false">IF($U$4=0,"",ROUND($U$68,0)&amp;" Punkte")</f>
        <v/>
      </c>
      <c r="T23" s="15" t="s">
        <v>175</v>
      </c>
      <c r="U23" s="15" t="n">
        <f aca="false">SUM(BP6,BP7,BP8,BP9,BP10)</f>
        <v>0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IF(Y23=1,IF(ISNUMBER(E23),1,0),IF(AH23="",0,IF(IF($U$43=1,COUNTIF($AH$6:$AK$25,"&gt;"&amp;AH23),COUNTIF($AM$6:$AP$25,"&gt;"&amp;AH23))+COUNTIF($AH$6:$AK$22,AH23)+1&lt;=$U$53,1,0)))</f>
        <v>0</v>
      </c>
      <c r="AS23" s="15" t="n">
        <f aca="false">IF(Y23=1,IF(ISNUMBER(F23),1,0),IF(AI23="",0,IF(IF($U$43=1,COUNTIF($AH$6:$AK$25,"&gt;"&amp;AI23),COUNTIF($AM$6:$AP$25,"&gt;"&amp;AI23))+COUNTIF($AH$6:$AK$22,AI23)+COUNTIF($AH23:AH23,AI23)+1&lt;=$U$53,1,0)))</f>
        <v>0</v>
      </c>
      <c r="AT23" s="15" t="n">
        <f aca="false">IF(Y23=1,IF(ISNUMBER(G23),1,0),IF(AJ23="",0,IF(IF($U$43=1,COUNTIF($AH$6:$AK$25,"&gt;"&amp;AJ23),COUNTIF($AM$6:$AP$25,"&gt;"&amp;AJ23))+COUNTIF($AH$6:$AK$22,AJ23)+COUNTIF($AH23:AI23,AJ23)+1&lt;=$U$53,1,0)))</f>
        <v>0</v>
      </c>
      <c r="AU23" s="15" t="n">
        <f aca="false">IF(Y23=1,IF(ISNUMBER(H23),1,0),IF(AK23="",0,IF(IF($U$43=1,COUNTIF($AH$6:$AK$25,"&gt;"&amp;AK23),COUNTIF($AM$6:$AP$25,"&gt;"&amp;AK23))+COUNTIF($AH$6:$AK$22,AK23)+COUNTIF($AH23:AJ23,AK23)+1&lt;=$U$53,1,0)))</f>
        <v>0</v>
      </c>
      <c r="BZ23" s="15" t="n">
        <f aca="false">IFERROR(LARGE($AH$6:$AK$25,22),0)</f>
        <v>0</v>
      </c>
      <c r="CA23" s="15" t="n">
        <f aca="false">CA22+BZ23</f>
        <v>0</v>
      </c>
      <c r="CB23" s="15" t="n">
        <f aca="false">IFERROR(LARGE($AM$6:$AP$25,22),0)</f>
        <v>0</v>
      </c>
      <c r="CC23" s="15" t="n">
        <f aca="false">CC22+CB23</f>
        <v>0</v>
      </c>
      <c r="CE23" s="15" t="n">
        <f aca="false">40</f>
        <v>40</v>
      </c>
      <c r="CF23" s="15" t="n">
        <f aca="false">CE23-$V$5-$V$6-2</f>
        <v>18</v>
      </c>
      <c r="CG23" s="15" t="n">
        <f aca="false">MAX(0,CF23)</f>
        <v>18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18</v>
      </c>
      <c r="CK23" s="15" t="n">
        <f aca="false">$V$5+CH23+CJ23+$V$14*2</f>
        <v>40</v>
      </c>
      <c r="CL23" s="15" t="n">
        <f aca="false">1*BE6+1*BF6+1*BE7+1*BF7+1*BE8+1*BF8</f>
        <v>84</v>
      </c>
      <c r="CM23" s="15" t="n">
        <f aca="false">1*BG6+1*BH6+1*BG7+1*BH7+1*BG8+1*BH8+1*BG9+1*BH9+1*BG10+1*BH10+SUM($AE$12:$AE$25)</f>
        <v>20</v>
      </c>
      <c r="CN23" s="15" t="n">
        <f aca="false">IF(CH23=0,0,INDEX($CC$2:$CC$57,CH23))</f>
        <v>0</v>
      </c>
      <c r="CO23" s="15" t="n">
        <f aca="false">CL23+$V$11+CN23+CJ23*$U$2+IF($V$14=1,$V$13*1,0)</f>
        <v>280</v>
      </c>
      <c r="CP23" s="15" t="n">
        <f aca="false">CM23+CH23+CJ23+$V$14*2</f>
        <v>40</v>
      </c>
      <c r="CQ23" s="15" t="n">
        <f aca="false">MIN(600,INT((CO23)+0.5+0.000000001))</f>
        <v>280</v>
      </c>
      <c r="CR23" s="15" t="n">
        <f aca="false">$V$9+CT23+$V$16</f>
        <v>0</v>
      </c>
      <c r="CS23" s="15" t="n">
        <f aca="false">8</f>
        <v>8</v>
      </c>
      <c r="CT23" s="15" t="n">
        <f aca="false">$V$10+MAX(0,CH23-$V$8)+CJ23*IF($U$2&lt;5,1,0)</f>
        <v>0</v>
      </c>
      <c r="CU23" s="15" t="n">
        <f aca="false">$V$11+CN23+CJ23*$U$2</f>
        <v>182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1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IF($V$17&gt;=48,1,0)</f>
        <v>1</v>
      </c>
      <c r="DD23" s="15" t="n">
        <f aca="false">IF($V$18&gt;=100,1,0)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1028060</v>
      </c>
    </row>
    <row r="24" customFormat="false" ht="22.35" hidden="false" customHeight="false" outlineLevel="0" collapsed="false">
      <c r="B24" s="36" t="s">
        <v>176</v>
      </c>
      <c r="C24" s="37"/>
      <c r="D24" s="38"/>
      <c r="E24" s="24"/>
      <c r="F24" s="24"/>
      <c r="G24" s="24"/>
      <c r="H24" s="24"/>
      <c r="I24" s="39"/>
      <c r="J24" s="39"/>
      <c r="L24" s="42" t="s">
        <v>177</v>
      </c>
      <c r="M24" s="43" t="str">
        <f aca="false">IF($U$4=0,"",IF($U$64=1,"✓ erfüllt","✗ nicht erfüllt"))</f>
        <v/>
      </c>
      <c r="N24" s="36"/>
      <c r="T24" s="15" t="s">
        <v>178</v>
      </c>
      <c r="U24" s="15" t="n">
        <f aca="false">BP6+BP7+BP8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IF(Y24=1,IF(ISNUMBER(E24),1,0),IF(AH24="",0,IF(IF($U$43=1,COUNTIF($AH$6:$AK$25,"&gt;"&amp;AH24),COUNTIF($AM$6:$AP$25,"&gt;"&amp;AH24))+COUNTIF($AH$6:$AK$23,AH24)+1&lt;=$U$53,1,0)))</f>
        <v>0</v>
      </c>
      <c r="AS24" s="15" t="n">
        <f aca="false">IF(Y24=1,IF(ISNUMBER(F24),1,0),IF(AI24="",0,IF(IF($U$43=1,COUNTIF($AH$6:$AK$25,"&gt;"&amp;AI24),COUNTIF($AM$6:$AP$25,"&gt;"&amp;AI24))+COUNTIF($AH$6:$AK$23,AI24)+COUNTIF($AH24:AH24,AI24)+1&lt;=$U$53,1,0)))</f>
        <v>0</v>
      </c>
      <c r="AT24" s="15" t="n">
        <f aca="false">IF(Y24=1,IF(ISNUMBER(G24),1,0),IF(AJ24="",0,IF(IF($U$43=1,COUNTIF($AH$6:$AK$25,"&gt;"&amp;AJ24),COUNTIF($AM$6:$AP$25,"&gt;"&amp;AJ24))+COUNTIF($AH$6:$AK$23,AJ24)+COUNTIF($AH24:AI24,AJ24)+1&lt;=$U$53,1,0)))</f>
        <v>0</v>
      </c>
      <c r="AU24" s="15" t="n">
        <f aca="false">IF(Y24=1,IF(ISNUMBER(H24),1,0),IF(AK24="",0,IF(IF($U$43=1,COUNTIF($AH$6:$AK$25,"&gt;"&amp;AK24),COUNTIF($AM$6:$AP$25,"&gt;"&amp;AK24))+COUNTIF($AH$6:$AK$23,AK24)+COUNTIF($AH24:AJ24,AK24)+1&lt;=$U$53,1,0)))</f>
        <v>0</v>
      </c>
      <c r="BZ24" s="15" t="n">
        <f aca="false">IFERROR(LARGE($AH$6:$AK$25,23),0)</f>
        <v>0</v>
      </c>
      <c r="CA24" s="15" t="n">
        <f aca="false">CA23+BZ24</f>
        <v>0</v>
      </c>
      <c r="CB24" s="15" t="n">
        <f aca="false">IFERROR(LARGE($AM$6:$AP$25,23),0)</f>
        <v>0</v>
      </c>
      <c r="CC24" s="15" t="n">
        <f aca="false">CC23+CB24</f>
        <v>0</v>
      </c>
    </row>
    <row r="25" customFormat="false" ht="15" hidden="false" customHeight="false" outlineLevel="0" collapsed="false">
      <c r="B25" s="36" t="s">
        <v>179</v>
      </c>
      <c r="C25" s="37"/>
      <c r="D25" s="38"/>
      <c r="E25" s="24"/>
      <c r="F25" s="24"/>
      <c r="G25" s="24"/>
      <c r="H25" s="24"/>
      <c r="I25" s="39"/>
      <c r="J25" s="39"/>
      <c r="L25" s="42" t="s">
        <v>180</v>
      </c>
      <c r="M25" s="43" t="str">
        <f aca="false">IF($U$4=0,"",IF($U$71=1,"✓ erfüllt","✗ nicht erfüllt"))</f>
        <v/>
      </c>
      <c r="N25" s="36" t="str">
        <f aca="false">IF($U$4=0,"",$U$69&amp;" Punkte")</f>
        <v/>
      </c>
      <c r="T25" s="15" t="s">
        <v>181</v>
      </c>
      <c r="U25" s="15" t="n">
        <f aca="false">BQ6+BQ7+BQ8+BQ9+BQ10</f>
        <v>0</v>
      </c>
      <c r="X25" s="15" t="n">
        <f aca="false">IF(OR(LEN(TRIM(C25))&gt;0,COUNT(E25:H25)&gt;0),1,0)</f>
        <v>0</v>
      </c>
      <c r="Y25" s="15" t="n">
        <f aca="false">IF(LEN(TRIM(D25))&gt;0,1,0)</f>
        <v>0</v>
      </c>
      <c r="Z25" s="15" t="n">
        <f aca="false">Y25*SUM(E25:H25)</f>
        <v>0</v>
      </c>
      <c r="AA25" s="15" t="n">
        <f aca="false">Y25*COUNT(E25:H25)</f>
        <v>0</v>
      </c>
      <c r="AB25" s="15" t="n">
        <f aca="false">Y25*COUNTIF(E25:H25,"&lt;5")</f>
        <v>0</v>
      </c>
      <c r="AC25" s="15" t="n">
        <f aca="false">Y25*COUNTIF(E25:H25,0)</f>
        <v>0</v>
      </c>
      <c r="AD25" s="15" t="n">
        <f aca="false">Y25*(SUM(E25:H25)+X25*$U$2*(4-COUNT(E25:H25)))</f>
        <v>0</v>
      </c>
      <c r="AE25" s="15" t="n">
        <f aca="false">Y25*(COUNT(E25:H25)+X25*(4-COUNT(E25:H25)))</f>
        <v>0</v>
      </c>
      <c r="AF25" s="15" t="n">
        <f aca="false">Y25*(COUNTIF(E25:H25,"&lt;5")+X25*IF($U$2&lt;5,1,0)*(4-COUNT(E25:H25)))</f>
        <v>0</v>
      </c>
      <c r="AH25" s="15" t="str">
        <f aca="false">IF(Y25=1,"",IF(ISNUMBER(E25),IF(E25=0,"",E25),""))</f>
        <v/>
      </c>
      <c r="AI25" s="15" t="str">
        <f aca="false">IF(Y25=1,"",IF(ISNUMBER(F25),IF(F25=0,"",F25),""))</f>
        <v/>
      </c>
      <c r="AJ25" s="15" t="str">
        <f aca="false">IF(Y25=1,"",IF(ISNUMBER(G25),IF(G25=0,"",G25),""))</f>
        <v/>
      </c>
      <c r="AK25" s="15" t="str">
        <f aca="false">IF(Y25=1,"",IF(ISNUMBER(H25),IF(H25=0,"",H25),""))</f>
        <v/>
      </c>
      <c r="AM25" s="15" t="str">
        <f aca="false">IF(Y25=1,"",IF(ISNUMBER(E25),IF(E25=0,"",E25),IF(X25=1,$U$2,"")))</f>
        <v/>
      </c>
      <c r="AN25" s="15" t="str">
        <f aca="false">IF(Y25=1,"",IF(ISNUMBER(F25),IF(F25=0,"",F25),IF(X25=1,$U$2,"")))</f>
        <v/>
      </c>
      <c r="AO25" s="15" t="str">
        <f aca="false">IF(Y25=1,"",IF(ISNUMBER(G25),IF(G25=0,"",G25),IF(X25=1,$U$2,"")))</f>
        <v/>
      </c>
      <c r="AP25" s="15" t="str">
        <f aca="false">IF(Y25=1,"",IF(ISNUMBER(H25),IF(H25=0,"",H25),IF(X25=1,$U$2,"")))</f>
        <v/>
      </c>
      <c r="AR25" s="15" t="n">
        <f aca="false">IF(Y25=1,IF(ISNUMBER(E25),1,0),IF(AH25="",0,IF(IF($U$43=1,COUNTIF($AH$6:$AK$25,"&gt;"&amp;AH25),COUNTIF($AM$6:$AP$25,"&gt;"&amp;AH25))+COUNTIF($AH$6:$AK$24,AH25)+1&lt;=$U$53,1,0)))</f>
        <v>0</v>
      </c>
      <c r="AS25" s="15" t="n">
        <f aca="false">IF(Y25=1,IF(ISNUMBER(F25),1,0),IF(AI25="",0,IF(IF($U$43=1,COUNTIF($AH$6:$AK$25,"&gt;"&amp;AI25),COUNTIF($AM$6:$AP$25,"&gt;"&amp;AI25))+COUNTIF($AH$6:$AK$24,AI25)+COUNTIF($AH25:AH25,AI25)+1&lt;=$U$53,1,0)))</f>
        <v>0</v>
      </c>
      <c r="AT25" s="15" t="n">
        <f aca="false">IF(Y25=1,IF(ISNUMBER(G25),1,0),IF(AJ25="",0,IF(IF($U$43=1,COUNTIF($AH$6:$AK$25,"&gt;"&amp;AJ25),COUNTIF($AM$6:$AP$25,"&gt;"&amp;AJ25))+COUNTIF($AH$6:$AK$24,AJ25)+COUNTIF($AH25:AI25,AJ25)+1&lt;=$U$53,1,0)))</f>
        <v>0</v>
      </c>
      <c r="AU25" s="15" t="n">
        <f aca="false">IF(Y25=1,IF(ISNUMBER(H25),1,0),IF(AK25="",0,IF(IF($U$43=1,COUNTIF($AH$6:$AK$25,"&gt;"&amp;AK25),COUNTIF($AM$6:$AP$25,"&gt;"&amp;AK25))+COUNTIF($AH$6:$AK$24,AK25)+COUNTIF($AH25:AJ25,AK25)+1&lt;=$U$53,1,0)))</f>
        <v>0</v>
      </c>
      <c r="BZ25" s="15" t="n">
        <f aca="false">IFERROR(LARGE($AH$6:$AK$25,24),0)</f>
        <v>0</v>
      </c>
      <c r="CA25" s="15" t="n">
        <f aca="false">CA24+BZ25</f>
        <v>0</v>
      </c>
      <c r="CB25" s="15" t="n">
        <f aca="false">IFERROR(LARGE($AM$6:$AP$25,24),0)</f>
        <v>0</v>
      </c>
      <c r="CC25" s="15" t="n">
        <f aca="false">CC24+CB25</f>
        <v>0</v>
      </c>
    </row>
    <row r="26" customFormat="false" ht="22.35" hidden="false" customHeight="false" outlineLevel="0" collapsed="false">
      <c r="L26" s="42" t="str">
        <f aca="false">"In mindestens "&amp;$U$32&amp;" Prüfungen mindestens 5 Punkte (einfach), davon eine im 1./2./3. Prüfungsfach"</f>
        <v>In mindestens 3 Prüfungen mindestens 5 Punkte (einfach), davon eine im 1./2./3. Prüfungsfach</v>
      </c>
      <c r="M26" s="43" t="str">
        <f aca="false">IF($U$4=0,"",IF($U$72=1,"✓ erfüllt","✗ nicht erfüllt"))</f>
        <v/>
      </c>
      <c r="N26" s="36" t="str">
        <f aca="false">IF($U$4=0,"",$U$70&amp;" Prüfungen")</f>
        <v/>
      </c>
      <c r="T26" s="15" t="s">
        <v>182</v>
      </c>
      <c r="U26" s="15" t="n">
        <f aca="false">BR6+BR7+BR8+BR9+BR10</f>
        <v>0</v>
      </c>
      <c r="BZ26" s="15" t="n">
        <f aca="false">IFERROR(LARGE($AH$6:$AK$25,25),0)</f>
        <v>0</v>
      </c>
      <c r="CA26" s="15" t="n">
        <f aca="false">CA25+BZ26</f>
        <v>0</v>
      </c>
      <c r="CB26" s="15" t="n">
        <f aca="false">IFERROR(LARGE($AM$6:$AP$25,25),0)</f>
        <v>0</v>
      </c>
      <c r="CC26" s="15" t="n">
        <f aca="false">CC25+CB26</f>
        <v>0</v>
      </c>
    </row>
    <row r="27" customFormat="false" ht="30" hidden="false" customHeight="true" outlineLevel="0" collapsed="false">
      <c r="B27" s="21" t="s">
        <v>183</v>
      </c>
      <c r="C27" s="37"/>
      <c r="E27" s="25"/>
      <c r="F27" s="44" t="s">
        <v>184</v>
      </c>
      <c r="L27" s="42" t="s">
        <v>185</v>
      </c>
      <c r="M27" s="43" t="str">
        <f aca="false">IF($U$4=0,"",IF($U$73=1,"✓ erfüllt","✗ nicht erfüllt"))</f>
        <v/>
      </c>
      <c r="N27" s="36"/>
      <c r="T27" s="15" t="s">
        <v>186</v>
      </c>
      <c r="U27" s="15" t="n">
        <f aca="false">MIN(300,INT((SUM(BU6,BU7,BU8,BU9,BU10))+0.5+0.000000001))</f>
        <v>140</v>
      </c>
      <c r="BZ27" s="15" t="n">
        <f aca="false">IFERROR(LARGE($AH$6:$AK$25,26),0)</f>
        <v>0</v>
      </c>
      <c r="CA27" s="15" t="n">
        <f aca="false">CA26+BZ27</f>
        <v>0</v>
      </c>
      <c r="CB27" s="15" t="n">
        <f aca="false">IFERROR(LARGE($AM$6:$AP$25,26),0)</f>
        <v>0</v>
      </c>
      <c r="CC27" s="15" t="n">
        <f aca="false">CC26+CB27</f>
        <v>0</v>
      </c>
    </row>
    <row r="28" customFormat="false" ht="15" hidden="false" customHeight="false" outlineLevel="0" collapsed="false">
      <c r="L28" s="42" t="s">
        <v>187</v>
      </c>
      <c r="M28" s="43" t="str">
        <f aca="false">IF($U$4=0,"",IF($U$76=1,"✓ erfüllt","✗ nicht erfüllt"))</f>
        <v/>
      </c>
      <c r="N28" s="36" t="str">
        <f aca="false">IF($U$4=0,"",$U$75&amp;" Punkte")</f>
        <v/>
      </c>
      <c r="T28" s="15" t="s">
        <v>188</v>
      </c>
      <c r="U28" s="15" t="n">
        <f aca="false">SUM(BV6,BV7,BV8,BV9,BV10)</f>
        <v>5</v>
      </c>
      <c r="BZ28" s="15" t="n">
        <f aca="false">IFERROR(LARGE($AH$6:$AK$25,27),0)</f>
        <v>0</v>
      </c>
      <c r="CA28" s="15" t="n">
        <f aca="false">CA27+BZ28</f>
        <v>0</v>
      </c>
      <c r="CB28" s="15" t="n">
        <f aca="false">IFERROR(LARGE($AM$6:$AP$25,27),0)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5" t="s">
        <v>189</v>
      </c>
      <c r="T29" s="15" t="s">
        <v>190</v>
      </c>
      <c r="U29" s="15" t="n">
        <f aca="false">BV6+BV7+BV8</f>
        <v>3</v>
      </c>
      <c r="BZ29" s="15" t="n">
        <f aca="false">IFERROR(LARGE($AH$6:$AK$25,28),0)</f>
        <v>0</v>
      </c>
      <c r="CA29" s="15" t="n">
        <f aca="false">CA28+BZ29</f>
        <v>0</v>
      </c>
      <c r="CB29" s="15" t="n">
        <f aca="false">IFERROR(LARGE($AM$6:$AP$25,28),0)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191</v>
      </c>
      <c r="L30" s="45" t="s">
        <v>192</v>
      </c>
      <c r="T30" s="15" t="s">
        <v>193</v>
      </c>
      <c r="U30" s="15" t="n">
        <f aca="false">BW6+BW7+BW8+BW9+BW10</f>
        <v>0</v>
      </c>
      <c r="BZ30" s="15" t="n">
        <f aca="false">IFERROR(LARGE($AH$6:$AK$25,29),0)</f>
        <v>0</v>
      </c>
      <c r="CA30" s="15" t="n">
        <f aca="false">CA29+BZ30</f>
        <v>0</v>
      </c>
      <c r="CB30" s="15" t="n">
        <f aca="false">IFERROR(LARGE($AM$6:$AP$25,29),0)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194</v>
      </c>
      <c r="L31" s="8" t="s">
        <v>195</v>
      </c>
      <c r="T31" s="15" t="s">
        <v>196</v>
      </c>
      <c r="U31" s="15" t="n">
        <f aca="false">BX6+BX7+BX8+BX9+BX10</f>
        <v>0</v>
      </c>
      <c r="BZ31" s="15" t="n">
        <f aca="false">IFERROR(LARGE($AH$6:$AK$25,30),0)</f>
        <v>0</v>
      </c>
      <c r="CA31" s="15" t="n">
        <f aca="false">CA30+BZ31</f>
        <v>0</v>
      </c>
      <c r="CB31" s="15" t="n">
        <f aca="false">IFERROR(LARGE($AM$6:$AP$25,30),0)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197</v>
      </c>
      <c r="L32" s="46" t="s">
        <v>198</v>
      </c>
      <c r="T32" s="15" t="s">
        <v>199</v>
      </c>
      <c r="U32" s="15" t="n">
        <f aca="false">3</f>
        <v>3</v>
      </c>
      <c r="BZ32" s="15" t="n">
        <f aca="false">IFERROR(LARGE($AH$6:$AK$25,31),0)</f>
        <v>0</v>
      </c>
      <c r="CA32" s="15" t="n">
        <f aca="false">CA31+BZ32</f>
        <v>0</v>
      </c>
      <c r="CB32" s="15" t="n">
        <f aca="false">IFERROR(LARGE($AM$6:$AP$25,31),0)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200</v>
      </c>
      <c r="L33" s="47" t="s">
        <v>201</v>
      </c>
      <c r="T33" s="15" t="s">
        <v>202</v>
      </c>
      <c r="U33" s="15" t="n">
        <f aca="false">IF(ISNUMBER($I$6),0,1)+IF(ISNUMBER($I$7),0,1)+IF(ISNUMBER($I$8),0,1)+IF(ISNUMBER($I$9),0,1)+IF(ISNUMBER($I$10),0,1)</f>
        <v>5</v>
      </c>
      <c r="BZ33" s="15" t="n">
        <f aca="false">IFERROR(LARGE($AH$6:$AK$25,32),0)</f>
        <v>0</v>
      </c>
      <c r="CA33" s="15" t="n">
        <f aca="false">CA32+BZ33</f>
        <v>0</v>
      </c>
      <c r="CB33" s="15" t="n">
        <f aca="false">IFERROR(LARGE($AM$6:$AP$25,32),0)</f>
        <v>0</v>
      </c>
      <c r="CC33" s="15" t="n">
        <f aca="false">CC32+CB33</f>
        <v>0</v>
      </c>
    </row>
    <row r="34" customFormat="false" ht="15" hidden="false" customHeight="false" outlineLevel="0" collapsed="false">
      <c r="B34" s="12" t="s">
        <v>203</v>
      </c>
      <c r="L34" s="48" t="s">
        <v>204</v>
      </c>
      <c r="T34" s="15" t="s">
        <v>205</v>
      </c>
      <c r="U34" s="15" t="n">
        <f aca="false">IF($U$22&gt;=100,1,0)</f>
        <v>0</v>
      </c>
      <c r="BZ34" s="15" t="n">
        <f aca="false">IFERROR(LARGE($AH$6:$AK$25,33),0)</f>
        <v>0</v>
      </c>
      <c r="CA34" s="15" t="n">
        <f aca="false">CA33+BZ34</f>
        <v>0</v>
      </c>
      <c r="CB34" s="15" t="n">
        <f aca="false">IFERROR(LARGE($AM$6:$AP$25,33),0)</f>
        <v>0</v>
      </c>
      <c r="CC34" s="15" t="n">
        <f aca="false">CC33+CB34</f>
        <v>0</v>
      </c>
    </row>
    <row r="35" customFormat="false" ht="15" hidden="false" customHeight="false" outlineLevel="0" collapsed="false">
      <c r="T35" s="15" t="s">
        <v>206</v>
      </c>
      <c r="U35" s="15" t="n">
        <f aca="false">IF(AND($U$23&gt;=$U$32,$U$24&gt;=1),1,0)</f>
        <v>0</v>
      </c>
      <c r="BZ35" s="15" t="n">
        <f aca="false">IFERROR(LARGE($AH$6:$AK$25,34),0)</f>
        <v>0</v>
      </c>
      <c r="CA35" s="15" t="n">
        <f aca="false">CA34+BZ35</f>
        <v>0</v>
      </c>
      <c r="CB35" s="15" t="n">
        <f aca="false">IFERROR(LARGE($AM$6:$AP$25,34),0)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9" t="s">
        <v>207</v>
      </c>
      <c r="L36" s="49" t="s">
        <v>208</v>
      </c>
      <c r="T36" s="15" t="s">
        <v>209</v>
      </c>
      <c r="U36" s="15" t="n">
        <f aca="false">IF($U$26=0,1,0)</f>
        <v>1</v>
      </c>
      <c r="BZ36" s="15" t="n">
        <f aca="false">IFERROR(LARGE($AH$6:$AK$25,35),0)</f>
        <v>0</v>
      </c>
      <c r="CA36" s="15" t="n">
        <f aca="false">CA35+BZ36</f>
        <v>0</v>
      </c>
      <c r="CB36" s="15" t="n">
        <f aca="false">IFERROR(LARGE($AM$6:$AP$25,35),0)</f>
        <v>0</v>
      </c>
      <c r="CC36" s="15" t="n">
        <f aca="false">CC35+CB36</f>
        <v>0</v>
      </c>
    </row>
    <row r="37" customFormat="false" ht="15" hidden="false" customHeight="false" outlineLevel="0" collapsed="false">
      <c r="B37" s="50" t="s">
        <v>210</v>
      </c>
      <c r="L37" s="49" t="s">
        <v>211</v>
      </c>
      <c r="T37" s="15" t="s">
        <v>212</v>
      </c>
      <c r="U37" s="15" t="n">
        <f aca="false">$U$34*$U$35*$U$36</f>
        <v>0</v>
      </c>
      <c r="BZ37" s="15" t="n">
        <f aca="false">IFERROR(LARGE($AH$6:$AK$25,36),0)</f>
        <v>0</v>
      </c>
      <c r="CA37" s="15" t="n">
        <f aca="false">CA36+BZ37</f>
        <v>0</v>
      </c>
      <c r="CB37" s="15" t="n">
        <f aca="false">IFERROR(LARGE($AM$6:$AP$25,36),0)</f>
        <v>0</v>
      </c>
      <c r="CC37" s="15" t="n">
        <f aca="false">CC36+CB37</f>
        <v>0</v>
      </c>
    </row>
    <row r="38" customFormat="false" ht="15" hidden="false" customHeight="false" outlineLevel="0" collapsed="false">
      <c r="T38" s="15" t="s">
        <v>213</v>
      </c>
      <c r="U38" s="15" t="n">
        <f aca="false">IF($U$27&gt;=100,1,0)</f>
        <v>1</v>
      </c>
      <c r="BZ38" s="15" t="n">
        <f aca="false">IFERROR(LARGE($AH$6:$AK$25,37),0)</f>
        <v>0</v>
      </c>
      <c r="CA38" s="15" t="n">
        <f aca="false">CA37+BZ38</f>
        <v>0</v>
      </c>
      <c r="CB38" s="15" t="n">
        <f aca="false">IFERROR(LARGE($AM$6:$AP$25,37),0)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1" t="s">
        <v>214</v>
      </c>
      <c r="T39" s="15" t="s">
        <v>215</v>
      </c>
      <c r="U39" s="15" t="n">
        <f aca="false">IF(AND($U$28&gt;=$U$32,$U$29&gt;=1),1,0)</f>
        <v>1</v>
      </c>
      <c r="BZ39" s="15" t="n">
        <f aca="false">IFERROR(LARGE($AH$6:$AK$25,38),0)</f>
        <v>0</v>
      </c>
      <c r="CA39" s="15" t="n">
        <f aca="false">CA38+BZ39</f>
        <v>0</v>
      </c>
      <c r="CB39" s="15" t="n">
        <f aca="false">IFERROR(LARGE($AM$6:$AP$25,38),0)</f>
        <v>0</v>
      </c>
      <c r="CC39" s="15" t="n">
        <f aca="false">CC38+CB39</f>
        <v>0</v>
      </c>
    </row>
    <row r="40" customFormat="false" ht="15" hidden="false" customHeight="false" outlineLevel="0" collapsed="false">
      <c r="B40" s="44" t="s">
        <v>216</v>
      </c>
      <c r="T40" s="15" t="s">
        <v>217</v>
      </c>
      <c r="U40" s="15" t="n">
        <f aca="false">IF($U$31=0,1,0)</f>
        <v>1</v>
      </c>
      <c r="BZ40" s="15" t="n">
        <f aca="false">IFERROR(LARGE($AH$6:$AK$25,39),0)</f>
        <v>0</v>
      </c>
      <c r="CA40" s="15" t="n">
        <f aca="false">CA39+BZ40</f>
        <v>0</v>
      </c>
      <c r="CB40" s="15" t="n">
        <f aca="false">IFERROR(LARGE($AM$6:$AP$25,39),0)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218</v>
      </c>
      <c r="U41" s="15" t="n">
        <f aca="false">$U$38*$U$39*$U$40</f>
        <v>1</v>
      </c>
      <c r="BZ41" s="15" t="n">
        <f aca="false">IFERROR(LARGE($AH$6:$AK$25,40),0)</f>
        <v>0</v>
      </c>
      <c r="CA41" s="15" t="n">
        <f aca="false">CA40+BZ41</f>
        <v>0</v>
      </c>
      <c r="CB41" s="15" t="n">
        <f aca="false">IFERROR(LARGE($AM$6:$AP$25,40),0)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219</v>
      </c>
      <c r="U42" s="15" t="n">
        <f aca="false">INDEX($DG$3:$DG$3,$U$19)+$U$33+$U$15</f>
        <v>44</v>
      </c>
      <c r="BZ42" s="15" t="n">
        <f aca="false">IFERROR(LARGE($AH$6:$AK$25,41),0)</f>
        <v>0</v>
      </c>
      <c r="CA42" s="15" t="n">
        <f aca="false">CA41+BZ42</f>
        <v>0</v>
      </c>
      <c r="CB42" s="15" t="n">
        <f aca="false">IFERROR(LARGE($AM$6:$AP$25,41),0)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220</v>
      </c>
      <c r="U43" s="15" t="n">
        <f aca="false">IF($U$42=0,1,0)</f>
        <v>0</v>
      </c>
      <c r="BZ43" s="15" t="n">
        <f aca="false">IFERROR(LARGE($AH$6:$AK$25,42),0)</f>
        <v>0</v>
      </c>
      <c r="CA43" s="15" t="n">
        <f aca="false">CA42+BZ43</f>
        <v>0</v>
      </c>
      <c r="CB43" s="15" t="n">
        <f aca="false">IFERROR(LARGE($AM$6:$AP$25,42),0)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221</v>
      </c>
      <c r="U44" s="15" t="n">
        <f aca="false">IF($U$43=1,INDEX($CQ$3:$CQ$3,$U$19),INDEX($CQ$23:$CQ$23,$U$20))</f>
        <v>280</v>
      </c>
      <c r="BZ44" s="15" t="n">
        <f aca="false">IFERROR(LARGE($AH$6:$AK$25,43),0)</f>
        <v>0</v>
      </c>
      <c r="CA44" s="15" t="n">
        <f aca="false">CA43+BZ44</f>
        <v>0</v>
      </c>
      <c r="CB44" s="15" t="n">
        <f aca="false">IFERROR(LARGE($AM$6:$AP$25,43),0)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222</v>
      </c>
      <c r="U45" s="15" t="n">
        <f aca="false">IF($U$43=1,INDEX($CK$3:$CK$3,$U$19),INDEX($CK$23:$CK$23,$U$20))</f>
        <v>40</v>
      </c>
      <c r="BZ45" s="15" t="n">
        <f aca="false">IFERROR(LARGE($AH$6:$AK$25,44),0)</f>
        <v>0</v>
      </c>
      <c r="CA45" s="15" t="n">
        <f aca="false">CA44+BZ45</f>
        <v>0</v>
      </c>
      <c r="CB45" s="15" t="n">
        <f aca="false">IFERROR(LARGE($AM$6:$AP$25,44),0)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223</v>
      </c>
      <c r="U46" s="15" t="n">
        <f aca="false">IF($U$43=1,INDEX($CR$3:$CR$3,$U$19),INDEX($CR$23:$CR$23,$U$20))</f>
        <v>0</v>
      </c>
      <c r="BZ46" s="15" t="n">
        <f aca="false">IFERROR(LARGE($AH$6:$AK$25,45),0)</f>
        <v>0</v>
      </c>
      <c r="CA46" s="15" t="n">
        <f aca="false">CA45+BZ46</f>
        <v>0</v>
      </c>
      <c r="CB46" s="15" t="n">
        <f aca="false">IFERROR(LARGE($AM$6:$AP$25,45),0)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224</v>
      </c>
      <c r="U47" s="15" t="n">
        <f aca="false">IF($U$43=1,INDEX($CS$3:$CS$3,$U$19),INDEX($CS$23:$CS$23,$U$20))</f>
        <v>8</v>
      </c>
      <c r="BZ47" s="15" t="n">
        <f aca="false">IFERROR(LARGE($AH$6:$AK$25,46),0)</f>
        <v>0</v>
      </c>
      <c r="CA47" s="15" t="n">
        <f aca="false">CA46+BZ47</f>
        <v>0</v>
      </c>
      <c r="CB47" s="15" t="n">
        <f aca="false">IFERROR(LARGE($AM$6:$AP$25,46),0)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225</v>
      </c>
      <c r="U48" s="15" t="n">
        <f aca="false">IF($U$43=1,INDEX($CT$3:$CT$3,$U$19),INDEX($CT$23:$CT$23,$U$20))</f>
        <v>0</v>
      </c>
      <c r="BZ48" s="15" t="n">
        <f aca="false">IFERROR(LARGE($AH$6:$AK$25,47),0)</f>
        <v>0</v>
      </c>
      <c r="CA48" s="15" t="n">
        <f aca="false">CA47+BZ48</f>
        <v>0</v>
      </c>
      <c r="CB48" s="15" t="n">
        <f aca="false">IFERROR(LARGE($AM$6:$AP$25,47),0)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226</v>
      </c>
      <c r="U49" s="15" t="n">
        <f aca="false">IF($U$43=1,INDEX($CL$3:$CL$3,$U$19),INDEX($CL$23:$CL$23,$U$20))</f>
        <v>84</v>
      </c>
      <c r="BZ49" s="15" t="n">
        <f aca="false">IFERROR(LARGE($AH$6:$AK$25,48),0)</f>
        <v>0</v>
      </c>
      <c r="CA49" s="15" t="n">
        <f aca="false">CA48+BZ49</f>
        <v>0</v>
      </c>
      <c r="CB49" s="15" t="n">
        <f aca="false">IFERROR(LARGE($AM$6:$AP$25,48),0)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227</v>
      </c>
      <c r="U50" s="15" t="n">
        <f aca="false">IF($U$43=1,INDEX($CU$3:$CU$3,$U$19),INDEX($CU$23:$CU$23,$U$20))</f>
        <v>182</v>
      </c>
      <c r="BZ50" s="15" t="n">
        <f aca="false">IFERROR(LARGE($AH$6:$AK$25,49),0)</f>
        <v>0</v>
      </c>
      <c r="CA50" s="15" t="n">
        <f aca="false">CA49+BZ50</f>
        <v>0</v>
      </c>
      <c r="CB50" s="15" t="n">
        <f aca="false">IFERROR(LARGE($AM$6:$AP$25,49),0)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228</v>
      </c>
      <c r="U51" s="15" t="n">
        <f aca="false">IF($U$43=1,INDEX($CP$3:$CP$3,$U$19),INDEX($CP$23:$CP$23,$U$20))</f>
        <v>40</v>
      </c>
      <c r="BZ51" s="15" t="n">
        <f aca="false">IFERROR(LARGE($AH$6:$AK$25,50),0)</f>
        <v>0</v>
      </c>
      <c r="CA51" s="15" t="n">
        <f aca="false">CA50+BZ51</f>
        <v>0</v>
      </c>
      <c r="CB51" s="15" t="n">
        <f aca="false">IFERROR(LARGE($AM$6:$AP$25,50),0)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229</v>
      </c>
      <c r="U52" s="15" t="n">
        <f aca="false">IF($U$43=1,INDEX($CO$3:$CO$3,$U$19),INDEX($CO$23:$CO$23,$U$20))</f>
        <v>280</v>
      </c>
      <c r="BZ52" s="15" t="n">
        <f aca="false">IFERROR(LARGE($AH$6:$AK$25,51),0)</f>
        <v>0</v>
      </c>
      <c r="CA52" s="15" t="n">
        <f aca="false">CA51+BZ52</f>
        <v>0</v>
      </c>
      <c r="CB52" s="15" t="n">
        <f aca="false">IFERROR(LARGE($AM$6:$AP$25,51),0)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230</v>
      </c>
      <c r="U53" s="15" t="n">
        <f aca="false">IF($U$43=1,INDEX($CH$3:$CH$3,$U$19),INDEX($CH$23:$CH$23,$U$20))</f>
        <v>0</v>
      </c>
      <c r="BZ53" s="15" t="n">
        <f aca="false">IFERROR(LARGE($AH$6:$AK$25,52),0)</f>
        <v>0</v>
      </c>
      <c r="CA53" s="15" t="n">
        <f aca="false">CA52+BZ53</f>
        <v>0</v>
      </c>
      <c r="CB53" s="15" t="n">
        <f aca="false">IFERROR(LARGE($AM$6:$AP$25,52),0)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231</v>
      </c>
      <c r="U54" s="15" t="n">
        <f aca="false">IF($U$43=1,INDEX($DF$3:$DF$3,$U$19),INDEX($DF$23:$DF$23,$U$20))</f>
        <v>1</v>
      </c>
      <c r="BZ54" s="15" t="n">
        <f aca="false">IFERROR(LARGE($AH$6:$AK$25,53),0)</f>
        <v>0</v>
      </c>
      <c r="CA54" s="15" t="n">
        <f aca="false">CA53+BZ54</f>
        <v>0</v>
      </c>
      <c r="CB54" s="15" t="n">
        <f aca="false">IFERROR(LARGE($AM$6:$AP$25,53),0)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232</v>
      </c>
      <c r="U55" s="15" t="n">
        <f aca="false">IF($U$43=1,INDEX($CV$3:$CV$3,$U$19),INDEX($CV$23:$CV$23,$U$20))</f>
        <v>1</v>
      </c>
      <c r="BZ55" s="15" t="n">
        <f aca="false">IFERROR(LARGE($AH$6:$AK$25,54),0)</f>
        <v>0</v>
      </c>
      <c r="CA55" s="15" t="n">
        <f aca="false">CA54+BZ55</f>
        <v>0</v>
      </c>
      <c r="CB55" s="15" t="n">
        <f aca="false">IFERROR(LARGE($AM$6:$AP$25,54),0)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233</v>
      </c>
      <c r="U56" s="15" t="n">
        <f aca="false">IF($U$43=1,INDEX($CW$3:$CW$3,$U$19),INDEX($CW$23:$CW$23,$U$20))</f>
        <v>1</v>
      </c>
      <c r="BZ56" s="15" t="n">
        <f aca="false">IFERROR(LARGE($AH$6:$AK$25,55),0)</f>
        <v>0</v>
      </c>
      <c r="CA56" s="15" t="n">
        <f aca="false">CA55+BZ56</f>
        <v>0</v>
      </c>
      <c r="CB56" s="15" t="n">
        <f aca="false">IFERROR(LARGE($AM$6:$AP$25,55),0)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234</v>
      </c>
      <c r="U57" s="15" t="n">
        <f aca="false">IF($U$43=1,INDEX($CX$3:$CX$3,$U$19),INDEX($CX$23:$CX$23,$U$20))</f>
        <v>1</v>
      </c>
      <c r="BZ57" s="15" t="n">
        <f aca="false">IFERROR(LARGE($AH$6:$AK$25,56),0)</f>
        <v>0</v>
      </c>
      <c r="CA57" s="15" t="n">
        <f aca="false">CA56+BZ57</f>
        <v>0</v>
      </c>
      <c r="CB57" s="15" t="n">
        <f aca="false">IFERROR(LARGE($AM$6:$AP$25,56),0)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235</v>
      </c>
      <c r="U58" s="15" t="n">
        <f aca="false">IF($U$43=1,INDEX($CY$3:$CY$3,$U$19),INDEX($CY$23:$CY$23,$U$20))</f>
        <v>1</v>
      </c>
    </row>
    <row r="59" customFormat="false" ht="15" hidden="false" customHeight="false" outlineLevel="0" collapsed="false">
      <c r="T59" s="15" t="s">
        <v>236</v>
      </c>
      <c r="U59" s="15" t="n">
        <f aca="false">IF($U$43=1,INDEX($CZ$3:$CZ$3,$U$19),INDEX($CZ$23:$CZ$23,$U$20))</f>
        <v>1</v>
      </c>
    </row>
    <row r="60" customFormat="false" ht="15" hidden="false" customHeight="false" outlineLevel="0" collapsed="false">
      <c r="T60" s="15" t="s">
        <v>237</v>
      </c>
      <c r="U60" s="15" t="n">
        <f aca="false">IF($U$43=1,INDEX($DA$3:$DA$3,$U$19),INDEX($DA$23:$DA$23,$U$20))</f>
        <v>1</v>
      </c>
    </row>
    <row r="61" customFormat="false" ht="15" hidden="false" customHeight="false" outlineLevel="0" collapsed="false">
      <c r="T61" s="15" t="s">
        <v>238</v>
      </c>
      <c r="U61" s="15" t="n">
        <f aca="false">IF($U$43=1,INDEX($DB$3:$DB$3,$U$19),INDEX($DB$23:$DB$23,$U$20))</f>
        <v>1</v>
      </c>
    </row>
    <row r="62" customFormat="false" ht="15" hidden="false" customHeight="false" outlineLevel="0" collapsed="false">
      <c r="T62" s="15" t="s">
        <v>239</v>
      </c>
      <c r="U62" s="15" t="n">
        <f aca="false">IF($U$43=1,INDEX($DC$3:$DC$3,$U$19),INDEX($DC$23:$DC$23,$U$20))</f>
        <v>1</v>
      </c>
    </row>
    <row r="63" customFormat="false" ht="15" hidden="false" customHeight="false" outlineLevel="0" collapsed="false">
      <c r="T63" s="15" t="s">
        <v>240</v>
      </c>
      <c r="U63" s="15" t="n">
        <f aca="false">IF($U$43=1,INDEX($DD$3:$DD$3,$U$19),INDEX($DD$23:$DD$23,$U$20))</f>
        <v>1</v>
      </c>
    </row>
    <row r="64" customFormat="false" ht="15" hidden="false" customHeight="false" outlineLevel="0" collapsed="false">
      <c r="T64" s="15" t="s">
        <v>241</v>
      </c>
      <c r="U64" s="15" t="n">
        <f aca="false">IF($U$43=1,INDEX($DE$3:$DE$3,$U$19),INDEX($DE$23:$DE$23,$U$20))</f>
        <v>1</v>
      </c>
    </row>
    <row r="65" customFormat="false" ht="15" hidden="false" customHeight="false" outlineLevel="0" collapsed="false">
      <c r="T65" s="15" t="s">
        <v>242</v>
      </c>
      <c r="U65" s="15" t="n">
        <f aca="false">IF($U$43=1,$U$19,$U$20)</f>
        <v>1</v>
      </c>
    </row>
    <row r="66" customFormat="false" ht="15" hidden="false" customHeight="false" outlineLevel="0" collapsed="false">
      <c r="T66" s="15" t="s">
        <v>243</v>
      </c>
      <c r="U66" s="15" t="n">
        <f aca="false">IF($U$43=1,$U$9,$V$9)</f>
        <v>0</v>
      </c>
    </row>
    <row r="67" customFormat="false" ht="15" hidden="false" customHeight="false" outlineLevel="0" collapsed="false">
      <c r="T67" s="15" t="s">
        <v>244</v>
      </c>
      <c r="U67" s="15" t="n">
        <f aca="false">IF($U$43=1,$U$17,$V$17)</f>
        <v>84</v>
      </c>
    </row>
    <row r="68" customFormat="false" ht="15" hidden="false" customHeight="false" outlineLevel="0" collapsed="false">
      <c r="T68" s="15" t="s">
        <v>245</v>
      </c>
      <c r="U68" s="15" t="n">
        <f aca="false">IF($U$43=1,$U$18,$V$18)</f>
        <v>140</v>
      </c>
    </row>
    <row r="69" customFormat="false" ht="15" hidden="false" customHeight="false" outlineLevel="0" collapsed="false">
      <c r="T69" s="15" t="s">
        <v>246</v>
      </c>
      <c r="U69" s="15" t="n">
        <f aca="false">IF($U$43=1,$U$22,$U$27)</f>
        <v>140</v>
      </c>
    </row>
    <row r="70" customFormat="false" ht="15" hidden="false" customHeight="false" outlineLevel="0" collapsed="false">
      <c r="T70" s="0" t="s">
        <v>247</v>
      </c>
      <c r="U70" s="0" t="n">
        <f aca="false">IF($U$43=1,$U$23,$U$28)</f>
        <v>5</v>
      </c>
    </row>
    <row r="71" customFormat="false" ht="15" hidden="false" customHeight="false" outlineLevel="0" collapsed="false">
      <c r="T71" s="0" t="s">
        <v>248</v>
      </c>
      <c r="U71" s="0" t="n">
        <f aca="false">IF($U$43=1,$U$34,$U$38)</f>
        <v>1</v>
      </c>
    </row>
    <row r="72" customFormat="false" ht="15" hidden="false" customHeight="false" outlineLevel="0" collapsed="false">
      <c r="T72" s="0" t="s">
        <v>249</v>
      </c>
      <c r="U72" s="0" t="n">
        <f aca="false">IF($U$43=1,$U$35,$U$39)</f>
        <v>1</v>
      </c>
    </row>
    <row r="73" customFormat="false" ht="15" hidden="false" customHeight="false" outlineLevel="0" collapsed="false">
      <c r="T73" s="0" t="s">
        <v>250</v>
      </c>
      <c r="U73" s="0" t="n">
        <f aca="false">IF($U$43=1,$U$36,$U$40)</f>
        <v>1</v>
      </c>
    </row>
    <row r="74" customFormat="false" ht="15" hidden="false" customHeight="false" outlineLevel="0" collapsed="false">
      <c r="T74" s="0" t="s">
        <v>251</v>
      </c>
      <c r="U74" s="0" t="n">
        <f aca="false">IF($U$43=1,$U$37,$U$41)</f>
        <v>1</v>
      </c>
    </row>
    <row r="75" customFormat="false" ht="15" hidden="false" customHeight="false" outlineLevel="0" collapsed="false">
      <c r="T75" s="0" t="s">
        <v>150</v>
      </c>
      <c r="U75" s="0" t="n">
        <f aca="false">$U$44+$U$69</f>
        <v>420</v>
      </c>
    </row>
    <row r="76" customFormat="false" ht="15" hidden="false" customHeight="false" outlineLevel="0" collapsed="false">
      <c r="T76" s="0" t="s">
        <v>252</v>
      </c>
      <c r="U76" s="0" t="n">
        <f aca="false">IF($U$75&gt;=300,1,0)</f>
        <v>1</v>
      </c>
    </row>
    <row r="77" customFormat="false" ht="15" hidden="false" customHeight="false" outlineLevel="0" collapsed="false">
      <c r="T77" s="0" t="s">
        <v>253</v>
      </c>
      <c r="U77" s="0" t="n">
        <f aca="false">IF($U$54*$U$74*$U$76=1,1,0)</f>
        <v>1</v>
      </c>
    </row>
    <row r="78" customFormat="false" ht="15" hidden="false" customHeight="false" outlineLevel="0" collapsed="false">
      <c r="T78" s="0" t="s">
        <v>254</v>
      </c>
      <c r="U78" s="0" t="n">
        <f aca="false">IF($U$75&lt;300,"",MAX(10,MIN(40,INT((1020-$U$75)/18))))</f>
        <v>33</v>
      </c>
    </row>
    <row r="79" customFormat="false" ht="15" hidden="false" customHeight="false" outlineLevel="0" collapsed="false">
      <c r="T79" s="0" t="s">
        <v>255</v>
      </c>
      <c r="U79" s="0" t="n">
        <f aca="false">IF($U$78="",MAX(0,300-$U$75),IF($U$78&gt;10,1021-18*$U$78-$U$75,""))</f>
        <v>7</v>
      </c>
    </row>
    <row r="80" customFormat="false" ht="15" hidden="false" customHeight="false" outlineLevel="0" collapsed="false">
      <c r="T80" s="0" t="s">
        <v>256</v>
      </c>
      <c r="U80" s="0" t="n">
        <f aca="false">IF($U$78="","",$U$75-IF($U$78&gt;=40,300,1020-18*($U$78+1)+1))</f>
        <v>11</v>
      </c>
    </row>
  </sheetData>
  <sheetProtection sheet="true" formatCells="false" formatColumns="false" formatRows="false"/>
  <mergeCells count="1">
    <mergeCell ref="M6:N6"/>
  </mergeCells>
  <conditionalFormatting sqref="E6:H25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10">
    <cfRule type="expression" priority="5" aboveAverage="0" equalAverage="0" bottom="0" percent="0" rank="0" text="" dxfId="3">
      <formula>AND(ISNUMBER(I6),I6&lt;5)</formula>
    </cfRule>
  </conditionalFormatting>
  <conditionalFormatting sqref="M19:M28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3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10 E12:H25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2:D25" type="list">
      <formula1>"x"</formula1>
      <formula2>0</formula2>
    </dataValidation>
    <dataValidation allowBlank="true" error="Bitte eine ganze Zahl von 0 bis 30 eingeben." errorStyle="stop" errorTitle="Punkte" operator="between" showDropDown="false" showErrorMessage="false" showInputMessage="false" sqref="E27" type="whole">
      <formula1>0</formula1>
      <formula2>30</formula2>
    </dataValidation>
  </dataValidations>
  <hyperlinks>
    <hyperlink ref="B37" r:id="rId2" display="https://www.gesetze-bayern.de/Content/Document/BayGSO-44"/>
    <hyperlink ref="B39" r:id="rId3" display="Online-Rechner Bayern mit Statistik und PDF-Download: https://www.abi-rechner.com/bundeslander/bayern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Bayern · abi-rechner.com · Stand September 2026</oddFooter>
  </headerFooter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4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7.35" hidden="false" customHeight="false" outlineLevel="0" collapsed="false">
      <c r="B1" s="52" t="s">
        <v>257</v>
      </c>
    </row>
    <row r="2" customFormat="false" ht="15" hidden="false" customHeight="false" outlineLevel="0" collapsed="false">
      <c r="B2" s="2" t="s">
        <v>258</v>
      </c>
    </row>
    <row r="4" customFormat="false" ht="15" hidden="false" customHeight="false" outlineLevel="0" collapsed="false">
      <c r="B4" s="41" t="s">
        <v>127</v>
      </c>
      <c r="C4" s="41" t="s">
        <v>259</v>
      </c>
      <c r="D4" s="41" t="s">
        <v>260</v>
      </c>
      <c r="F4" s="41" t="s">
        <v>261</v>
      </c>
      <c r="G4" s="41" t="s">
        <v>262</v>
      </c>
      <c r="H4" s="6" t="s">
        <v>263</v>
      </c>
    </row>
    <row r="5" customFormat="false" ht="15" hidden="false" customHeight="false" outlineLevel="0" collapsed="false">
      <c r="B5" s="53" t="n">
        <f aca="false">10/10</f>
        <v>1</v>
      </c>
      <c r="C5" s="10" t="n">
        <f aca="false">IF((B5*10)=40,300,1020-18*((B5*10)+1)+1)</f>
        <v>823</v>
      </c>
      <c r="D5" s="10" t="n">
        <f aca="false">IF((B5*10)=10,900,1020-18*(B5*10))</f>
        <v>900</v>
      </c>
      <c r="F5" s="54" t="n">
        <v>15</v>
      </c>
      <c r="G5" s="10" t="s">
        <v>264</v>
      </c>
      <c r="H5" s="11" t="s">
        <v>265</v>
      </c>
    </row>
    <row r="6" customFormat="false" ht="15" hidden="false" customHeight="false" outlineLevel="0" collapsed="false">
      <c r="B6" s="53" t="n">
        <f aca="false">11/10</f>
        <v>1.1</v>
      </c>
      <c r="C6" s="10" t="n">
        <f aca="false">IF((B6*10)=40,300,1020-18*((B6*10)+1)+1)</f>
        <v>805</v>
      </c>
      <c r="D6" s="10" t="n">
        <f aca="false">IF((B6*10)=10,900,1020-18*(B6*10))</f>
        <v>822</v>
      </c>
      <c r="F6" s="54" t="n">
        <v>14</v>
      </c>
      <c r="G6" s="10" t="s">
        <v>266</v>
      </c>
      <c r="H6" s="11" t="s">
        <v>265</v>
      </c>
    </row>
    <row r="7" customFormat="false" ht="15" hidden="false" customHeight="false" outlineLevel="0" collapsed="false">
      <c r="B7" s="53" t="n">
        <f aca="false">12/10</f>
        <v>1.2</v>
      </c>
      <c r="C7" s="10" t="n">
        <f aca="false">IF((B7*10)=40,300,1020-18*((B7*10)+1)+1)</f>
        <v>787</v>
      </c>
      <c r="D7" s="10" t="n">
        <f aca="false">IF((B7*10)=10,900,1020-18*(B7*10))</f>
        <v>804</v>
      </c>
      <c r="F7" s="54" t="n">
        <v>13</v>
      </c>
      <c r="G7" s="10" t="s">
        <v>267</v>
      </c>
      <c r="H7" s="11" t="s">
        <v>265</v>
      </c>
    </row>
    <row r="8" customFormat="false" ht="15" hidden="false" customHeight="false" outlineLevel="0" collapsed="false">
      <c r="B8" s="53" t="n">
        <f aca="false">13/10</f>
        <v>1.3</v>
      </c>
      <c r="C8" s="10" t="n">
        <f aca="false">IF((B8*10)=40,300,1020-18*((B8*10)+1)+1)</f>
        <v>769</v>
      </c>
      <c r="D8" s="10" t="n">
        <f aca="false">IF((B8*10)=10,900,1020-18*(B8*10))</f>
        <v>786</v>
      </c>
      <c r="F8" s="54" t="n">
        <v>12</v>
      </c>
      <c r="G8" s="10" t="s">
        <v>268</v>
      </c>
      <c r="H8" s="11" t="s">
        <v>269</v>
      </c>
    </row>
    <row r="9" customFormat="false" ht="15" hidden="false" customHeight="false" outlineLevel="0" collapsed="false">
      <c r="B9" s="53" t="n">
        <f aca="false">14/10</f>
        <v>1.4</v>
      </c>
      <c r="C9" s="10" t="n">
        <f aca="false">IF((B9*10)=40,300,1020-18*((B9*10)+1)+1)</f>
        <v>751</v>
      </c>
      <c r="D9" s="10" t="n">
        <f aca="false">IF((B9*10)=10,900,1020-18*(B9*10))</f>
        <v>768</v>
      </c>
      <c r="F9" s="54" t="n">
        <v>11</v>
      </c>
      <c r="G9" s="10" t="s">
        <v>270</v>
      </c>
      <c r="H9" s="11" t="s">
        <v>269</v>
      </c>
    </row>
    <row r="10" customFormat="false" ht="15" hidden="false" customHeight="false" outlineLevel="0" collapsed="false">
      <c r="B10" s="53" t="n">
        <f aca="false">15/10</f>
        <v>1.5</v>
      </c>
      <c r="C10" s="10" t="n">
        <f aca="false">IF((B10*10)=40,300,1020-18*((B10*10)+1)+1)</f>
        <v>733</v>
      </c>
      <c r="D10" s="10" t="n">
        <f aca="false">IF((B10*10)=10,900,1020-18*(B10*10))</f>
        <v>750</v>
      </c>
      <c r="F10" s="54" t="n">
        <v>10</v>
      </c>
      <c r="G10" s="10" t="s">
        <v>271</v>
      </c>
      <c r="H10" s="11" t="s">
        <v>269</v>
      </c>
    </row>
    <row r="11" customFormat="false" ht="15" hidden="false" customHeight="false" outlineLevel="0" collapsed="false">
      <c r="B11" s="53" t="n">
        <f aca="false">16/10</f>
        <v>1.6</v>
      </c>
      <c r="C11" s="10" t="n">
        <f aca="false">IF((B11*10)=40,300,1020-18*((B11*10)+1)+1)</f>
        <v>715</v>
      </c>
      <c r="D11" s="10" t="n">
        <f aca="false">IF((B11*10)=10,900,1020-18*(B11*10))</f>
        <v>732</v>
      </c>
      <c r="F11" s="54" t="n">
        <v>9</v>
      </c>
      <c r="G11" s="10" t="s">
        <v>272</v>
      </c>
      <c r="H11" s="11" t="s">
        <v>273</v>
      </c>
    </row>
    <row r="12" customFormat="false" ht="15" hidden="false" customHeight="false" outlineLevel="0" collapsed="false">
      <c r="B12" s="53" t="n">
        <f aca="false">17/10</f>
        <v>1.7</v>
      </c>
      <c r="C12" s="10" t="n">
        <f aca="false">IF((B12*10)=40,300,1020-18*((B12*10)+1)+1)</f>
        <v>697</v>
      </c>
      <c r="D12" s="10" t="n">
        <f aca="false">IF((B12*10)=10,900,1020-18*(B12*10))</f>
        <v>714</v>
      </c>
      <c r="F12" s="54" t="n">
        <v>8</v>
      </c>
      <c r="G12" s="10" t="s">
        <v>274</v>
      </c>
      <c r="H12" s="11" t="s">
        <v>273</v>
      </c>
    </row>
    <row r="13" customFormat="false" ht="15" hidden="false" customHeight="false" outlineLevel="0" collapsed="false">
      <c r="B13" s="53" t="n">
        <f aca="false">18/10</f>
        <v>1.8</v>
      </c>
      <c r="C13" s="10" t="n">
        <f aca="false">IF((B13*10)=40,300,1020-18*((B13*10)+1)+1)</f>
        <v>679</v>
      </c>
      <c r="D13" s="10" t="n">
        <f aca="false">IF((B13*10)=10,900,1020-18*(B13*10))</f>
        <v>696</v>
      </c>
      <c r="F13" s="54" t="n">
        <v>7</v>
      </c>
      <c r="G13" s="10" t="s">
        <v>275</v>
      </c>
      <c r="H13" s="11" t="s">
        <v>273</v>
      </c>
    </row>
    <row r="14" customFormat="false" ht="15" hidden="false" customHeight="false" outlineLevel="0" collapsed="false">
      <c r="B14" s="53" t="n">
        <f aca="false">19/10</f>
        <v>1.9</v>
      </c>
      <c r="C14" s="10" t="n">
        <f aca="false">IF((B14*10)=40,300,1020-18*((B14*10)+1)+1)</f>
        <v>661</v>
      </c>
      <c r="D14" s="10" t="n">
        <f aca="false">IF((B14*10)=10,900,1020-18*(B14*10))</f>
        <v>678</v>
      </c>
      <c r="F14" s="54" t="n">
        <v>6</v>
      </c>
      <c r="G14" s="10" t="s">
        <v>276</v>
      </c>
      <c r="H14" s="11" t="s">
        <v>277</v>
      </c>
    </row>
    <row r="15" customFormat="false" ht="15" hidden="false" customHeight="false" outlineLevel="0" collapsed="false">
      <c r="B15" s="53" t="n">
        <f aca="false">20/10</f>
        <v>2</v>
      </c>
      <c r="C15" s="10" t="n">
        <f aca="false">IF((B15*10)=40,300,1020-18*((B15*10)+1)+1)</f>
        <v>643</v>
      </c>
      <c r="D15" s="10" t="n">
        <f aca="false">IF((B15*10)=10,900,1020-18*(B15*10))</f>
        <v>660</v>
      </c>
      <c r="F15" s="54" t="n">
        <v>5</v>
      </c>
      <c r="G15" s="10" t="s">
        <v>278</v>
      </c>
      <c r="H15" s="11" t="s">
        <v>277</v>
      </c>
    </row>
    <row r="16" customFormat="false" ht="15" hidden="false" customHeight="false" outlineLevel="0" collapsed="false">
      <c r="B16" s="53" t="n">
        <f aca="false">21/10</f>
        <v>2.1</v>
      </c>
      <c r="C16" s="10" t="n">
        <f aca="false">IF((B16*10)=40,300,1020-18*((B16*10)+1)+1)</f>
        <v>625</v>
      </c>
      <c r="D16" s="10" t="n">
        <f aca="false">IF((B16*10)=10,900,1020-18*(B16*10))</f>
        <v>642</v>
      </c>
      <c r="F16" s="54" t="n">
        <v>4</v>
      </c>
      <c r="G16" s="10" t="s">
        <v>279</v>
      </c>
      <c r="H16" s="11" t="s">
        <v>277</v>
      </c>
    </row>
    <row r="17" customFormat="false" ht="15" hidden="false" customHeight="false" outlineLevel="0" collapsed="false">
      <c r="B17" s="53" t="n">
        <f aca="false">22/10</f>
        <v>2.2</v>
      </c>
      <c r="C17" s="10" t="n">
        <f aca="false">IF((B17*10)=40,300,1020-18*((B17*10)+1)+1)</f>
        <v>607</v>
      </c>
      <c r="D17" s="10" t="n">
        <f aca="false">IF((B17*10)=10,900,1020-18*(B17*10))</f>
        <v>624</v>
      </c>
      <c r="F17" s="54" t="n">
        <v>3</v>
      </c>
      <c r="G17" s="10" t="s">
        <v>280</v>
      </c>
      <c r="H17" s="11" t="s">
        <v>281</v>
      </c>
    </row>
    <row r="18" customFormat="false" ht="15" hidden="false" customHeight="false" outlineLevel="0" collapsed="false">
      <c r="B18" s="53" t="n">
        <f aca="false">23/10</f>
        <v>2.3</v>
      </c>
      <c r="C18" s="10" t="n">
        <f aca="false">IF((B18*10)=40,300,1020-18*((B18*10)+1)+1)</f>
        <v>589</v>
      </c>
      <c r="D18" s="10" t="n">
        <f aca="false">IF((B18*10)=10,900,1020-18*(B18*10))</f>
        <v>606</v>
      </c>
      <c r="F18" s="54" t="n">
        <v>2</v>
      </c>
      <c r="G18" s="10" t="s">
        <v>24</v>
      </c>
      <c r="H18" s="11" t="s">
        <v>281</v>
      </c>
    </row>
    <row r="19" customFormat="false" ht="15" hidden="false" customHeight="false" outlineLevel="0" collapsed="false">
      <c r="B19" s="53" t="n">
        <f aca="false">24/10</f>
        <v>2.4</v>
      </c>
      <c r="C19" s="10" t="n">
        <f aca="false">IF((B19*10)=40,300,1020-18*((B19*10)+1)+1)</f>
        <v>571</v>
      </c>
      <c r="D19" s="10" t="n">
        <f aca="false">IF((B19*10)=10,900,1020-18*(B19*10))</f>
        <v>588</v>
      </c>
      <c r="F19" s="54" t="n">
        <v>1</v>
      </c>
      <c r="G19" s="10" t="s">
        <v>282</v>
      </c>
      <c r="H19" s="11" t="s">
        <v>281</v>
      </c>
    </row>
    <row r="20" customFormat="false" ht="15" hidden="false" customHeight="false" outlineLevel="0" collapsed="false">
      <c r="B20" s="53" t="n">
        <f aca="false">25/10</f>
        <v>2.5</v>
      </c>
      <c r="C20" s="10" t="n">
        <f aca="false">IF((B20*10)=40,300,1020-18*((B20*10)+1)+1)</f>
        <v>553</v>
      </c>
      <c r="D20" s="10" t="n">
        <f aca="false">IF((B20*10)=10,900,1020-18*(B20*10))</f>
        <v>570</v>
      </c>
      <c r="F20" s="54" t="n">
        <v>0</v>
      </c>
      <c r="G20" s="10" t="s">
        <v>283</v>
      </c>
      <c r="H20" s="11" t="s">
        <v>284</v>
      </c>
    </row>
    <row r="21" customFormat="false" ht="15" hidden="false" customHeight="false" outlineLevel="0" collapsed="false">
      <c r="B21" s="53" t="n">
        <f aca="false">26/10</f>
        <v>2.6</v>
      </c>
      <c r="C21" s="10" t="n">
        <f aca="false">IF((B21*10)=40,300,1020-18*((B21*10)+1)+1)</f>
        <v>535</v>
      </c>
      <c r="D21" s="10" t="n">
        <f aca="false">IF((B21*10)=10,900,1020-18*(B21*10))</f>
        <v>552</v>
      </c>
    </row>
    <row r="22" customFormat="false" ht="15" hidden="false" customHeight="false" outlineLevel="0" collapsed="false">
      <c r="B22" s="53" t="n">
        <f aca="false">27/10</f>
        <v>2.7</v>
      </c>
      <c r="C22" s="10" t="n">
        <f aca="false">IF((B22*10)=40,300,1020-18*((B22*10)+1)+1)</f>
        <v>517</v>
      </c>
      <c r="D22" s="10" t="n">
        <f aca="false">IF((B22*10)=10,900,1020-18*(B22*10))</f>
        <v>534</v>
      </c>
      <c r="F22" s="16" t="s">
        <v>285</v>
      </c>
    </row>
    <row r="23" customFormat="false" ht="15" hidden="false" customHeight="false" outlineLevel="0" collapsed="false">
      <c r="B23" s="53" t="n">
        <f aca="false">28/10</f>
        <v>2.8</v>
      </c>
      <c r="C23" s="10" t="n">
        <f aca="false">IF((B23*10)=40,300,1020-18*((B23*10)+1)+1)</f>
        <v>499</v>
      </c>
      <c r="D23" s="10" t="n">
        <f aca="false">IF((B23*10)=10,900,1020-18*(B23*10))</f>
        <v>516</v>
      </c>
    </row>
    <row r="24" customFormat="false" ht="15" hidden="false" customHeight="false" outlineLevel="0" collapsed="false">
      <c r="B24" s="53" t="n">
        <f aca="false">29/10</f>
        <v>2.9</v>
      </c>
      <c r="C24" s="10" t="n">
        <f aca="false">IF((B24*10)=40,300,1020-18*((B24*10)+1)+1)</f>
        <v>481</v>
      </c>
      <c r="D24" s="10" t="n">
        <f aca="false">IF((B24*10)=10,900,1020-18*(B24*10))</f>
        <v>498</v>
      </c>
    </row>
    <row r="25" customFormat="false" ht="15" hidden="false" customHeight="false" outlineLevel="0" collapsed="false">
      <c r="B25" s="53" t="n">
        <f aca="false">30/10</f>
        <v>3</v>
      </c>
      <c r="C25" s="10" t="n">
        <f aca="false">IF((B25*10)=40,300,1020-18*((B25*10)+1)+1)</f>
        <v>463</v>
      </c>
      <c r="D25" s="10" t="n">
        <f aca="false">IF((B25*10)=10,900,1020-18*(B25*10))</f>
        <v>480</v>
      </c>
    </row>
    <row r="26" customFormat="false" ht="15" hidden="false" customHeight="false" outlineLevel="0" collapsed="false">
      <c r="B26" s="53" t="n">
        <f aca="false">31/10</f>
        <v>3.1</v>
      </c>
      <c r="C26" s="10" t="n">
        <f aca="false">IF((B26*10)=40,300,1020-18*((B26*10)+1)+1)</f>
        <v>445</v>
      </c>
      <c r="D26" s="10" t="n">
        <f aca="false">IF((B26*10)=10,900,1020-18*(B26*10))</f>
        <v>462</v>
      </c>
    </row>
    <row r="27" customFormat="false" ht="15" hidden="false" customHeight="false" outlineLevel="0" collapsed="false">
      <c r="B27" s="53" t="n">
        <f aca="false">32/10</f>
        <v>3.2</v>
      </c>
      <c r="C27" s="10" t="n">
        <f aca="false">IF((B27*10)=40,300,1020-18*((B27*10)+1)+1)</f>
        <v>427</v>
      </c>
      <c r="D27" s="10" t="n">
        <f aca="false">IF((B27*10)=10,900,1020-18*(B27*10))</f>
        <v>444</v>
      </c>
    </row>
    <row r="28" customFormat="false" ht="15" hidden="false" customHeight="false" outlineLevel="0" collapsed="false">
      <c r="B28" s="53" t="n">
        <f aca="false">33/10</f>
        <v>3.3</v>
      </c>
      <c r="C28" s="10" t="n">
        <f aca="false">IF((B28*10)=40,300,1020-18*((B28*10)+1)+1)</f>
        <v>409</v>
      </c>
      <c r="D28" s="10" t="n">
        <f aca="false">IF((B28*10)=10,900,1020-18*(B28*10))</f>
        <v>426</v>
      </c>
    </row>
    <row r="29" customFormat="false" ht="15" hidden="false" customHeight="false" outlineLevel="0" collapsed="false">
      <c r="B29" s="53" t="n">
        <f aca="false">34/10</f>
        <v>3.4</v>
      </c>
      <c r="C29" s="10" t="n">
        <f aca="false">IF((B29*10)=40,300,1020-18*((B29*10)+1)+1)</f>
        <v>391</v>
      </c>
      <c r="D29" s="10" t="n">
        <f aca="false">IF((B29*10)=10,900,1020-18*(B29*10))</f>
        <v>408</v>
      </c>
    </row>
    <row r="30" customFormat="false" ht="15" hidden="false" customHeight="false" outlineLevel="0" collapsed="false">
      <c r="B30" s="53" t="n">
        <f aca="false">35/10</f>
        <v>3.5</v>
      </c>
      <c r="C30" s="10" t="n">
        <f aca="false">IF((B30*10)=40,300,1020-18*((B30*10)+1)+1)</f>
        <v>373</v>
      </c>
      <c r="D30" s="10" t="n">
        <f aca="false">IF((B30*10)=10,900,1020-18*(B30*10))</f>
        <v>390</v>
      </c>
    </row>
    <row r="31" customFormat="false" ht="15" hidden="false" customHeight="false" outlineLevel="0" collapsed="false">
      <c r="B31" s="53" t="n">
        <f aca="false">36/10</f>
        <v>3.6</v>
      </c>
      <c r="C31" s="10" t="n">
        <f aca="false">IF((B31*10)=40,300,1020-18*((B31*10)+1)+1)</f>
        <v>355</v>
      </c>
      <c r="D31" s="10" t="n">
        <f aca="false">IF((B31*10)=10,900,1020-18*(B31*10))</f>
        <v>372</v>
      </c>
    </row>
    <row r="32" customFormat="false" ht="15" hidden="false" customHeight="false" outlineLevel="0" collapsed="false">
      <c r="B32" s="53" t="n">
        <f aca="false">37/10</f>
        <v>3.7</v>
      </c>
      <c r="C32" s="10" t="n">
        <f aca="false">IF((B32*10)=40,300,1020-18*((B32*10)+1)+1)</f>
        <v>337</v>
      </c>
      <c r="D32" s="10" t="n">
        <f aca="false">IF((B32*10)=10,900,1020-18*(B32*10))</f>
        <v>354</v>
      </c>
    </row>
    <row r="33" customFormat="false" ht="15" hidden="false" customHeight="false" outlineLevel="0" collapsed="false">
      <c r="B33" s="53" t="n">
        <f aca="false">38/10</f>
        <v>3.8</v>
      </c>
      <c r="C33" s="10" t="n">
        <f aca="false">IF((B33*10)=40,300,1020-18*((B33*10)+1)+1)</f>
        <v>319</v>
      </c>
      <c r="D33" s="10" t="n">
        <f aca="false">IF((B33*10)=10,900,1020-18*(B33*10))</f>
        <v>336</v>
      </c>
    </row>
    <row r="34" customFormat="false" ht="15" hidden="false" customHeight="false" outlineLevel="0" collapsed="false">
      <c r="B34" s="53" t="n">
        <f aca="false">39/10</f>
        <v>3.9</v>
      </c>
      <c r="C34" s="10" t="n">
        <f aca="false">IF((B34*10)=40,300,1020-18*((B34*10)+1)+1)</f>
        <v>301</v>
      </c>
      <c r="D34" s="10" t="n">
        <f aca="false">IF((B34*10)=10,900,1020-18*(B34*10))</f>
        <v>318</v>
      </c>
    </row>
    <row r="35" customFormat="false" ht="15" hidden="false" customHeight="false" outlineLevel="0" collapsed="false">
      <c r="B35" s="53" t="n">
        <f aca="false">40/10</f>
        <v>4</v>
      </c>
      <c r="C35" s="10" t="n">
        <f aca="false">IF((B35*10)=40,300,1020-18*((B35*10)+1)+1)</f>
        <v>300</v>
      </c>
      <c r="D35" s="10" t="n">
        <f aca="false">IF((B35*10)=10,900,1020-18*(B35*10))</f>
        <v>300</v>
      </c>
    </row>
    <row r="37" customFormat="false" ht="15" hidden="false" customHeight="false" outlineLevel="0" collapsed="false">
      <c r="B37" s="16" t="s">
        <v>286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2026-09-23T23:59:37Z</dcterms:created>
  <dc:creator>abi-rechner.com</dc:creator>
  <dc:description/>
  <cp:keywords>Abi-Rechner Abiturnote Excel Abitur 2027</cp:keywords>
  <dc:language>en-US</dc:language>
  <cp:lastModifiedBy/>
  <dcterms:modified xsi:type="dcterms:W3CDTF">2026-09-23T23:59:37Z</dcterms:modified>
  <cp:revision>0</cp:revision>
  <dc:subject>Abiturnote berechnen – alle Bundesländer</dc:subject>
  <dc:title>Abi-Rechner für Excel – Abitur 2027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