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Berlin" sheetId="2" state="visible" r:id="rId4"/>
    <sheet name="Punktetabelle" sheetId="3" state="visible" r:id="rId5"/>
  </sheets>
  <definedNames>
    <definedName function="false" hidden="false" localSheetId="1" name="_xlnm.Print_Area" vbProcedure="false">Berlin!$A$1:$N$40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  <comment ref="E10" authorId="0">
      <text>
        <r>
          <rPr>
            <sz val="10"/>
            <rFont val="Arial"/>
            <family val="2"/>
          </rPr>
          <t xml:space="preserve">Freiwillig: Dieses Halbjahr kann eingebracht werden, muss aber nicht.</t>
        </r>
      </text>
    </comment>
    <comment ref="F10" authorId="0">
      <text>
        <r>
          <rPr>
            <sz val="10"/>
            <rFont val="Arial"/>
            <family val="2"/>
          </rPr>
          <t xml:space="preserve">Freiwillig: Dieses Halbjahr kann eingebracht werden, muss aber nicht.</t>
        </r>
      </text>
    </comment>
    <comment ref="G10" authorId="0">
      <text>
        <r>
          <rPr>
            <sz val="10"/>
            <rFont val="Arial"/>
            <family val="2"/>
          </rPr>
          <t xml:space="preserve">Freiwillig: Dieses Halbjahr kann eingebracht werden, muss aber nicht.</t>
        </r>
      </text>
    </comment>
  </commentList>
</comments>
</file>

<file path=xl/sharedStrings.xml><?xml version="1.0" encoding="utf-8"?>
<sst xmlns="http://schemas.openxmlformats.org/spreadsheetml/2006/main" count="337" uniqueCount="276">
  <si>
    <t xml:space="preserve">Abi-Rechner Berlin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</si>
  <si>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</si>
  <si>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</si>
  <si>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</si>
  <si>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</si>
  <si>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</si>
  <si>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</si>
  <si>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</si>
  <si>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</si>
  <si>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</si>
  <si>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</si>
  <si>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</si>
  <si>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</si>
  <si>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</si>
  <si>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</si>
  <si>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</si>
  <si>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</si>
  <si>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</si>
  <si>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</si>
  <si>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</si>
  <si>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</si>
  <si>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</si>
  <si>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Berlin</t>
  </si>
  <si>
    <t xml:space="preserve">32</t>
  </si>
  <si>
    <t xml:space="preserve">5</t>
  </si>
  <si>
    <t xml:space="preserve">Abitur 2027 (VO-GO)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</si>
  <si>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</si>
  <si>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</si>
  <si>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</si>
  <si>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</si>
  <si>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</si>
  <si>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</si>
  <si>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</si>
  <si>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Berlin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</si>
  <si>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</si>
  <si>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</si>
  <si>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</si>
  <si>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</si>
  <si>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</si>
  <si>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(VO-GO)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</si>
  <si>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</si>
  <si>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</si>
  <si>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</si>
  <si>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</si>
  <si>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</si>
  <si>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</si>
  <si>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</si>
  <si>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</si>
  <si>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</si>
  <si>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</si>
  <si>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</si>
  <si>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</si>
  <si>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</si>
  <si>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</si>
  <si>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</si>
  <si>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</si>
  <si>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</si>
  <si>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</si>
  <si>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</si>
  <si>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</si>
  <si>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</si>
  <si>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</si>
  <si>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</si>
  <si>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</si>
  <si>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</si>
  <si>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</si>
  <si>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</si>
  <si>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</si>
  <si>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</si>
  <si>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</si>
  <si>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</si>
  <si>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</si>
  <si>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</si>
  <si>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</si>
  <si>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</si>
  <si>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</si>
  <si>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</si>
  <si>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</si>
  <si>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</si>
  <si>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</si>
  <si>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</si>
  <si>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</si>
  <si>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</si>
  <si>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</si>
  <si>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</si>
  <si>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</si>
  <si>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</si>
  <si>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</si>
  <si>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</si>
  <si>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</si>
  <si>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</si>
  <si>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</si>
  <si>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</si>
  <si>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</si>
  <si>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</si>
  <si>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</si>
  <si>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</si>
  <si>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</si>
  <si>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</si>
  <si>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</si>
  <si>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</si>
  <si>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</si>
  <si>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</si>
  <si>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</si>
  <si>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</si>
  <si>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</si>
  <si>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</si>
  <si>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</si>
  <si>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</si>
  <si>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Leistungskurs, schriftlich · zählt doppelt</t>
  </si>
  <si>
    <t xml:space="preserve">Abi</t>
  </si>
  <si>
    <t xml:space="preserve">Status</t>
  </si>
  <si>
    <t xml:space="preserve">fehlende Pflicht-Halbjahre</t>
  </si>
  <si>
    <t xml:space="preserve">2. Prüfungsfach
Leistungskurs, schriftlich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</si>
  <si>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</si>
  <si>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</si>
  <si>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</si>
  <si>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Grundkurs,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</si>
  <si>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</si>
  <si>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</si>
  <si>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</si>
  <si>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Grundkurs, 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</si>
  <si>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</si>
  <si>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</si>
  <si>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</si>
  <si>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</si>
  <si>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5. Prüfungskomponente
Präsentationsprüfung oder BLL – Kurse: mind. der letzte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</si>
  <si>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</si>
  <si>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</si>
  <si>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</si>
  <si>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</si>
  <si>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</si>
  <si>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</si>
  <si>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</si>
  <si>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</si>
  <si>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</si>
  <si>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</si>
  <si>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</si>
  <si>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</si>
  <si>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</si>
  <si>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</si>
  <si>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</si>
  <si>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</si>
  <si>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</si>
  <si>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</si>
  <si>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</si>
  <si>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</si>
  <si>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Grenzen siehe Bedingungen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</si>
  <si>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</si>
  <si>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</si>
  <si>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</si>
  <si>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</si>
  <si>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</si>
  <si>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</si>
  <si>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</si>
  <si>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 (Pflicht-/eingebrachtes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</si>
  <si>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</si>
  <si>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</si>
  <si>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</si>
  <si>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</si>
  <si>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</si>
  <si>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</si>
  <si>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</si>
  <si>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</si>
  <si>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</si>
  <si>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</si>
  <si>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</si>
  <si>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Höchstens 2 Unterkurse in den Leistungs-/eA-Fächern</t>
  </si>
  <si>
    <t xml:space="preserve">unter Mindestpunktzahl A</t>
  </si>
  <si>
    <t xml:space="preserve">Kurs 10</t>
  </si>
  <si>
    <t xml:space="preserve">Höchstens 4 Unterkurse in den Grundkursen</t>
  </si>
  <si>
    <t xml:space="preserve">Block II F</t>
  </si>
  <si>
    <t xml:space="preserve">Kurs 11</t>
  </si>
  <si>
    <t xml:space="preserve">Leistungskurse mindestens 80 Punkte (doppelt gewertet)</t>
  </si>
  <si>
    <t xml:space="preserve">&gt;=5 Punkte F</t>
  </si>
  <si>
    <t xml:space="preserve">Kurs 12</t>
  </si>
  <si>
    <t xml:space="preserve">Grundkurse mindestens 120 Punkte</t>
  </si>
  <si>
    <t xml:space="preserve">&gt;=5 in Pflichtfächern F</t>
  </si>
  <si>
    <t xml:space="preserve">Kurs 13</t>
  </si>
  <si>
    <t xml:space="preserve">Keine Pflicht-Halbjahre mit 0 Punkten</t>
  </si>
  <si>
    <t xml:space="preserve">Prüfung 0 F</t>
  </si>
  <si>
    <t xml:space="preserve">Kurs 14</t>
  </si>
  <si>
    <t xml:space="preserve">Nicht mehr Pflichtkurse markiert, als eingebracht werden dürfen</t>
  </si>
  <si>
    <t xml:space="preserve">unter Mindestpunktzahl F</t>
  </si>
  <si>
    <t xml:space="preserve">Block II mindestens 100 Punkte</t>
  </si>
  <si>
    <t xml:space="preserve">nötige Prüfungen &gt;=5</t>
  </si>
  <si>
    <t xml:space="preserve">fehlende Prüfungen</t>
  </si>
  <si>
    <t xml:space="preserve">Die Regeln in Berlin kurz erklärt</t>
  </si>
  <si>
    <t xml:space="preserve">Gesamtpunktzahl mindestens 300</t>
  </si>
  <si>
    <t xml:space="preserve">B2 Bedingung 0 A</t>
  </si>
  <si>
    <t xml:space="preserve">• 8 Leistungskurse (doppelt) + 24 Grundkurse (einfach) = Block I, keine Umrechnung.</t>
  </si>
  <si>
    <t xml:space="preserve">B2 Bedingung 1 A</t>
  </si>
  <si>
    <t xml:space="preserve">• Grundkurse: mind. 120 Punkte, höchstens 4 unter 5 Punkten. Leistungskurse: mind. 80 Punkte (doppelt), höchstens 2 unter 5 Punkten.</t>
  </si>
  <si>
    <t xml:space="preserve">Legende</t>
  </si>
  <si>
    <t xml:space="preserve">B2 gültig A</t>
  </si>
  <si>
    <t xml:space="preserve">• Keine Kurse mit 0 Punkten.</t>
  </si>
  <si>
    <t xml:space="preserve">Eingabefeld (Punkte 0–15)</t>
  </si>
  <si>
    <t xml:space="preserve">B2 Bedingung 0 F</t>
  </si>
  <si>
    <t xml:space="preserve">• Block II: 4 Prüfungsfächer + 5. Prüfungskomponente, jeweils vierfach.</t>
  </si>
  <si>
    <t xml:space="preserve">Halbjahr wird eingebracht</t>
  </si>
  <si>
    <t xml:space="preserve">B2 Bedingung 1 F</t>
  </si>
  <si>
    <t xml:space="preserve">• Bestehen Block II: mind. 100 Punkte, in 2 Fächern (darunter ein LK) mind. 5 Punkte einfach.</t>
  </si>
  <si>
    <t xml:space="preserve">eingebracht, aber Unterkurs (unter 5 Punkten)</t>
  </si>
  <si>
    <t xml:space="preserve">B2 gültig F</t>
  </si>
  <si>
    <t xml:space="preserve">wird nicht eingebracht (Streichergebnis)</t>
  </si>
  <si>
    <t xml:space="preserve">fehlende Eingaben</t>
  </si>
  <si>
    <t xml:space="preserve">Quelle: VO-GO Berlin §§ 26, 45</t>
  </si>
  <si>
    <t xml:space="preserve">vollständig</t>
  </si>
  <si>
    <t xml:space="preserve">https://www.schulgesetz-berlin.de/berlin/verordnung-ueber-die-gymnasiale-oberstufe/teil-iii-durchfuehrung-der-gymnasialen-oberstufe/kapitel-3-qualifikationsphase/sect-26-gesamtqualifikation.php</t>
  </si>
  <si>
    <t xml:space="preserve">Die Tabelle wählt automatisch die günstigsten Halbjahre aus.</t>
  </si>
  <si>
    <t xml:space="preserve">m_pts</t>
  </si>
  <si>
    <t xml:space="preserve">Blattschutz ohne Passwort: Überprüfen → Blatt schützen aufheben.</t>
  </si>
  <si>
    <t xml:space="preserve">m_cnt</t>
  </si>
  <si>
    <t xml:space="preserve">Online-Rechner Berlin mit Statistik und PDF-Download: https://www.abi-rechner.com/bundeslander/berlin/</t>
  </si>
  <si>
    <t xml:space="preserve">m_uk</t>
  </si>
  <si>
    <t xml:space="preserve">Alle Angaben ohne Gewähr. Maßgeblich ist die Oberstufenverordnung deines Landes und die Auskunft deiner Schule.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</si>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</sst>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1"/>
      <color rgb="FF59595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F7F7F7"/>
        <bgColor rgb="FFFFFFFF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schulgesetz-berlin.de/berlin/verordnung-ueber-die-gymnasiale-oberstufe/teil-iii-durchfuehrung-der-gymnasialen-oberstufe/kapitel-3-qualifikationsphase/sect-26-gesamtqualifikation.php" TargetMode="External"/><Relationship Id="rId3" Type="http://schemas.openxmlformats.org/officeDocument/2006/relationships/hyperlink" Target="https://www.abi-rechner.com/bundeslander/berli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Berlin'!A1" display="Berli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15</v>
      </c>
      <c r="CG3" s="15" t="n">
        <f aca="false">MAX(0,CF3)</f>
        <v>15</v>
      </c>
      <c r="CH3" s="15" t="n">
        <f aca="false">MIN(CG3,$U$7)</f>
        <v>0</v>
      </c>
      <c r="CI3" s="15" t="n">
        <f aca="false">CG3-CH3</f>
        <v>15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IF(CH3=0,0,INDEX($CA$2:$CA$60,CH3))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99</f>
        <v>99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1</f>
        <v>1</v>
      </c>
      <c r="CX3" s="15" t="n">
        <f aca="false">IF($U$9&lt;=2,1,0)</f>
        <v>1</v>
      </c>
      <c r="CY3" s="15" t="n">
        <f aca="false">IF(CT3&lt;=4,1,0)</f>
        <v>1</v>
      </c>
      <c r="CZ3" s="15" t="n">
        <f aca="false">IF(CL3&gt;=80-0.000000001,1,0)</f>
        <v>0</v>
      </c>
      <c r="DA3" s="15" t="n">
        <f aca="false">IF(CU3&gt;=120-0.000000001,1,0)</f>
        <v>0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17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17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IF($U$4=0,"",$U$36)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IF($U$4=0,"",$U$59)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IF($U$4=0,"",$U$64)</f>
        <v/>
      </c>
      <c r="N9" s="29" t="s">
        <v>124</v>
      </c>
      <c r="T9" s="15" t="s">
        <v>125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126</v>
      </c>
      <c r="C10" s="22"/>
      <c r="D10" s="23" t="s">
        <v>110</v>
      </c>
      <c r="E10" s="33"/>
      <c r="F10" s="33"/>
      <c r="G10" s="33"/>
      <c r="H10" s="24"/>
      <c r="I10" s="25"/>
      <c r="J10" s="30" t="s">
        <v>122</v>
      </c>
      <c r="L10" s="31" t="s">
        <v>127</v>
      </c>
      <c r="M10" s="34" t="str">
        <f aca="false">IF($U$4=0,"",IF($U$66=1,$U$67/10,"nicht bestanden"))</f>
        <v/>
      </c>
      <c r="N10" s="29"/>
      <c r="T10" s="15" t="s">
        <v>128</v>
      </c>
      <c r="U10" s="15" t="n">
        <f aca="false">BA8+BA9+BA10+SUM($AB$12:$AB$25)</f>
        <v>0</v>
      </c>
      <c r="V10" s="15" t="n">
        <f aca="false">BI8+BI9+BI10+SUM($AF$12:$AF$25)</f>
        <v>0</v>
      </c>
      <c r="AH10" s="15" t="str">
        <f aca="false">IF(ISNUMBER(E10),IF(E10=0,"",E10),"")</f>
        <v/>
      </c>
      <c r="AI10" s="15" t="str">
        <f aca="false">IF(ISNUMBER(F10),IF(F10=0,"",F10),"")</f>
        <v/>
      </c>
      <c r="AJ10" s="15" t="str">
        <f aca="false">IF(ISNUMBER(G10),IF(G10=0,"",G10),"")</f>
        <v/>
      </c>
      <c r="AM10" s="15" t="str">
        <f aca="false">IF(ISNUMBER(E10),IF(E10=0,"",E10),"")</f>
        <v/>
      </c>
      <c r="AN10" s="15" t="str">
        <f aca="false">IF(ISNUMBER(F10),IF(F10=0,"",F10),"")</f>
        <v/>
      </c>
      <c r="AO10" s="15" t="str">
        <f aca="false">IF(ISNUMBER(G10),IF(G10=0,"",G10),"")</f>
        <v/>
      </c>
      <c r="AR10" s="15" t="n">
        <f aca="false">IF(AH10="",0,IF(IF($U$35=1,COUNTIF($AH$6:$AK$25,"&gt;"&amp;AH10),COUNTIF($AM$6:$AP$25,"&gt;"&amp;AH10))+COUNTIF($AH$6:$AK$9,AH10)+1&lt;=$U$45,1,0))</f>
        <v>0</v>
      </c>
      <c r="AS10" s="15" t="n">
        <f aca="false">IF(AI10="",0,IF(IF($U$35=1,COUNTIF($AH$6:$AK$25,"&gt;"&amp;AI10),COUNTIF($AM$6:$AP$25,"&gt;"&amp;AI10))+COUNTIF($AH$6:$AK$9,AI10)+COUNTIF($AH10:AH10,AI10)+1&lt;=$U$45,1,0))</f>
        <v>0</v>
      </c>
      <c r="AT10" s="15" t="n">
        <f aca="false">IF(AJ10="",0,IF(IF($U$35=1,COUNTIF($AH$6:$AK$25,"&gt;"&amp;AJ10),COUNTIF($AM$6:$AP$25,"&gt;"&amp;AJ10))+COUNTIF($AH$6:$AK$9,AJ10)+COUNTIF($AH10:AI10,AJ10)+1&lt;=$U$45,1,0))</f>
        <v>0</v>
      </c>
      <c r="AU10" s="15" t="n">
        <f aca="false">IF(ISNUMBER(H10),1,0)</f>
        <v>0</v>
      </c>
      <c r="AW10" s="15" t="n">
        <f aca="false">0</f>
        <v>0</v>
      </c>
      <c r="AX10" s="15" t="n">
        <f aca="false">SUM(H10:H10)</f>
        <v>0</v>
      </c>
      <c r="AY10" s="15" t="n">
        <f aca="false">0</f>
        <v>0</v>
      </c>
      <c r="AZ10" s="15" t="n">
        <f aca="false">COUNT(H10:H10)</f>
        <v>0</v>
      </c>
      <c r="BA10" s="15" t="n">
        <f aca="false">COUNTIF(H10:H10,"&lt;5")</f>
        <v>0</v>
      </c>
      <c r="BB10" s="15" t="n">
        <f aca="false">COUNTIF(H10:H10,0)</f>
        <v>0</v>
      </c>
      <c r="BC10" s="15" t="n">
        <f aca="false">1-COUNT(H10:H10)</f>
        <v>1</v>
      </c>
      <c r="BD10" s="15" t="n">
        <f aca="false">SUM(E10:H10)</f>
        <v>0</v>
      </c>
      <c r="BE10" s="15" t="n">
        <f aca="false">0</f>
        <v>0</v>
      </c>
      <c r="BF10" s="15" t="n">
        <f aca="false">SUM(H10:H10)+$U$2*(1-COUNT(H10:H10))</f>
        <v>7</v>
      </c>
      <c r="BG10" s="15" t="n">
        <f aca="false">0</f>
        <v>0</v>
      </c>
      <c r="BH10" s="15" t="n">
        <f aca="false">1</f>
        <v>1</v>
      </c>
      <c r="BI10" s="15" t="n">
        <f aca="false">COUNTIF(H10:H10,"&lt;5")+IF($U$2&lt;5,1,0)*(1-COUNT(H10:H10))</f>
        <v>0</v>
      </c>
      <c r="BJ10" s="15" t="n">
        <f aca="false">COUNTIF(H10:H10,0)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5" t="s">
        <v>130</v>
      </c>
      <c r="E11" s="36" t="s">
        <v>75</v>
      </c>
      <c r="F11" s="36" t="s">
        <v>76</v>
      </c>
      <c r="G11" s="36" t="s">
        <v>77</v>
      </c>
      <c r="H11" s="36" t="s">
        <v>78</v>
      </c>
      <c r="I11" s="20"/>
      <c r="J11" s="20"/>
      <c r="L11" s="26" t="s">
        <v>131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132</v>
      </c>
      <c r="U11" s="15" t="n">
        <f aca="false">AW8+AW9+AW10+AX8+AX9+AX10+SUM($Z$12:$Z$25)</f>
        <v>0</v>
      </c>
      <c r="V11" s="15" t="n">
        <f aca="false">BE8+BE9+BE10+BF8+BF9+BF10+SUM($AD$12:$AD$25)</f>
        <v>63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7" t="s">
        <v>139</v>
      </c>
      <c r="C12" s="38"/>
      <c r="D12" s="39"/>
      <c r="E12" s="24"/>
      <c r="F12" s="24"/>
      <c r="G12" s="24"/>
      <c r="H12" s="24"/>
      <c r="I12" s="40"/>
      <c r="J12" s="40"/>
      <c r="L12" s="26" t="s">
        <v>140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7" t="s">
        <v>142</v>
      </c>
      <c r="C13" s="38"/>
      <c r="D13" s="39"/>
      <c r="E13" s="24"/>
      <c r="F13" s="24"/>
      <c r="G13" s="24"/>
      <c r="H13" s="24"/>
      <c r="I13" s="40"/>
      <c r="J13" s="40"/>
      <c r="L13" s="26" t="s">
        <v>143</v>
      </c>
      <c r="M13" s="28" t="str">
        <f aca="false">IF($U$4=0,"",$U$37)</f>
        <v/>
      </c>
      <c r="N13" s="29" t="str">
        <f aca="false">IF($U$4=0,"","Summe der eingebrachten Punkte")</f>
        <v/>
      </c>
      <c r="T13" s="15" t="s">
        <v>144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7" t="s">
        <v>145</v>
      </c>
      <c r="C14" s="38"/>
      <c r="D14" s="39"/>
      <c r="E14" s="24"/>
      <c r="F14" s="24"/>
      <c r="G14" s="24"/>
      <c r="H14" s="24"/>
      <c r="I14" s="40"/>
      <c r="J14" s="40"/>
      <c r="L14" s="26" t="s">
        <v>146</v>
      </c>
      <c r="M14" s="28" t="str">
        <f aca="false">IF($U$4=0,"",$U$38)</f>
        <v/>
      </c>
      <c r="N14" s="29" t="s">
        <v>147</v>
      </c>
      <c r="T14" s="15" t="s">
        <v>148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7" t="s">
        <v>149</v>
      </c>
      <c r="C15" s="38"/>
      <c r="D15" s="39"/>
      <c r="E15" s="24"/>
      <c r="F15" s="24"/>
      <c r="G15" s="24"/>
      <c r="H15" s="24"/>
      <c r="I15" s="40"/>
      <c r="J15" s="40"/>
      <c r="L15" s="26" t="s">
        <v>150</v>
      </c>
      <c r="M15" s="28" t="str">
        <f aca="false">IF($U$4=0,"","+"&amp;$U$15)</f>
        <v/>
      </c>
      <c r="N15" s="29" t="s">
        <v>151</v>
      </c>
      <c r="T15" s="15" t="s">
        <v>152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7" t="s">
        <v>153</v>
      </c>
      <c r="C16" s="38"/>
      <c r="D16" s="39"/>
      <c r="E16" s="24"/>
      <c r="F16" s="24"/>
      <c r="G16" s="24"/>
      <c r="H16" s="24"/>
      <c r="I16" s="40"/>
      <c r="J16" s="40"/>
      <c r="L16" s="26" t="s">
        <v>154</v>
      </c>
      <c r="M16" s="28" t="str">
        <f aca="false">IF($U$4=0,"","+1")</f>
        <v/>
      </c>
      <c r="N16" s="29" t="s">
        <v>155</v>
      </c>
      <c r="T16" s="15" t="s">
        <v>156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7" t="s">
        <v>157</v>
      </c>
      <c r="C17" s="38"/>
      <c r="D17" s="39"/>
      <c r="E17" s="24"/>
      <c r="F17" s="24"/>
      <c r="G17" s="24"/>
      <c r="H17" s="24"/>
      <c r="I17" s="40"/>
      <c r="J17" s="40"/>
      <c r="T17" s="15" t="s">
        <v>158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7" t="s">
        <v>159</v>
      </c>
      <c r="C18" s="38"/>
      <c r="D18" s="39"/>
      <c r="E18" s="24"/>
      <c r="F18" s="24"/>
      <c r="G18" s="24"/>
      <c r="H18" s="24"/>
      <c r="I18" s="40"/>
      <c r="J18" s="40"/>
      <c r="L18" s="41" t="s">
        <v>160</v>
      </c>
      <c r="M18" s="42" t="s">
        <v>111</v>
      </c>
      <c r="N18" s="6" t="s">
        <v>161</v>
      </c>
      <c r="T18" s="15" t="s">
        <v>162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7" t="s">
        <v>163</v>
      </c>
      <c r="C19" s="38"/>
      <c r="D19" s="39"/>
      <c r="E19" s="24"/>
      <c r="F19" s="24"/>
      <c r="G19" s="24"/>
      <c r="H19" s="24"/>
      <c r="I19" s="40"/>
      <c r="J19" s="40"/>
      <c r="L19" s="43" t="s">
        <v>164</v>
      </c>
      <c r="M19" s="44" t="str">
        <f aca="false">IF($U$4=0,"",IF($U$47=1,"✓ erfüllt","✗ nicht erfüllt"))</f>
        <v/>
      </c>
      <c r="N19" s="37" t="str">
        <f aca="false">IF($U$4=0,"",$U$36&amp;" Punkte")</f>
        <v/>
      </c>
      <c r="T19" s="15" t="s">
        <v>165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7" t="s">
        <v>166</v>
      </c>
      <c r="C20" s="38"/>
      <c r="D20" s="39"/>
      <c r="E20" s="24"/>
      <c r="F20" s="24"/>
      <c r="G20" s="24"/>
      <c r="H20" s="24"/>
      <c r="I20" s="40"/>
      <c r="J20" s="40"/>
      <c r="L20" s="43" t="s">
        <v>167</v>
      </c>
      <c r="M20" s="44" t="str">
        <f aca="false">IF($U$4=0,"",IF($U$49=1,"✓ erfüllt","✗ nicht erfüllt"))</f>
        <v/>
      </c>
      <c r="N20" s="37" t="str">
        <f aca="false">IF($U$4=0,"",$U$58&amp;" Unterkurse")</f>
        <v/>
      </c>
      <c r="T20" s="15" t="s">
        <v>168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7" t="s">
        <v>169</v>
      </c>
      <c r="C21" s="38"/>
      <c r="D21" s="39"/>
      <c r="E21" s="24"/>
      <c r="F21" s="24"/>
      <c r="G21" s="24"/>
      <c r="H21" s="24"/>
      <c r="I21" s="40"/>
      <c r="J21" s="40"/>
      <c r="L21" s="43" t="s">
        <v>170</v>
      </c>
      <c r="M21" s="44" t="str">
        <f aca="false">IF($U$4=0,"",IF($U$50=1,"✓ erfüllt","✗ nicht erfüllt"))</f>
        <v/>
      </c>
      <c r="N21" s="37" t="str">
        <f aca="false">IF($U$4=0,"",$U$40&amp;" Unterkurse")</f>
        <v/>
      </c>
      <c r="T21" s="15" t="s">
        <v>171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7" t="s">
        <v>172</v>
      </c>
      <c r="C22" s="38"/>
      <c r="D22" s="39"/>
      <c r="E22" s="24"/>
      <c r="F22" s="24"/>
      <c r="G22" s="24"/>
      <c r="H22" s="24"/>
      <c r="I22" s="40"/>
      <c r="J22" s="40"/>
      <c r="L22" s="43" t="s">
        <v>173</v>
      </c>
      <c r="M22" s="44" t="str">
        <f aca="false">IF($U$4=0,"",IF($U$51=1,"✓ erfüllt","✗ nicht erfüllt"))</f>
        <v/>
      </c>
      <c r="N22" s="37" t="str">
        <f aca="false">IF($U$4=0,"",ROUND($U$41,0)&amp;" Punkte")</f>
        <v/>
      </c>
      <c r="T22" s="15" t="s">
        <v>174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7" t="s">
        <v>175</v>
      </c>
      <c r="C23" s="38"/>
      <c r="D23" s="39"/>
      <c r="E23" s="24"/>
      <c r="F23" s="24"/>
      <c r="G23" s="24"/>
      <c r="H23" s="24"/>
      <c r="I23" s="40"/>
      <c r="J23" s="40"/>
      <c r="L23" s="43" t="s">
        <v>176</v>
      </c>
      <c r="M23" s="44" t="str">
        <f aca="false">IF($U$4=0,"",IF($U$52=1,"✓ erfüllt","✗ nicht erfüllt"))</f>
        <v/>
      </c>
      <c r="N23" s="37" t="str">
        <f aca="false">IF($U$4=0,"",ROUND($U$42,0)&amp;" Punkte")</f>
        <v/>
      </c>
      <c r="T23" s="15" t="s">
        <v>177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15</v>
      </c>
      <c r="CG23" s="15" t="n">
        <f aca="false">MAX(0,CF23)</f>
        <v>15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15</v>
      </c>
      <c r="CK23" s="15" t="n">
        <f aca="false">$V$5+CH23+CJ23</f>
        <v>32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25</v>
      </c>
      <c r="CN23" s="15" t="n">
        <f aca="false">IF(CH23=0,0,INDEX($CC$2:$CC$60,CH23))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99</f>
        <v>99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1</f>
        <v>1</v>
      </c>
      <c r="CX23" s="15" t="n">
        <f aca="false">IF($V$9&lt;=2,1,0)</f>
        <v>1</v>
      </c>
      <c r="CY23" s="15" t="n">
        <f aca="false">IF(CT23&lt;=4,1,0)</f>
        <v>1</v>
      </c>
      <c r="CZ23" s="15" t="n">
        <f aca="false">IF(CL23&gt;=80-0.000000001,1,0)</f>
        <v>1</v>
      </c>
      <c r="DA23" s="15" t="n">
        <f aca="false">IF(CU23&gt;=120-0.000000001,1,0)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7" t="s">
        <v>178</v>
      </c>
      <c r="C24" s="38"/>
      <c r="D24" s="39"/>
      <c r="E24" s="24"/>
      <c r="F24" s="24"/>
      <c r="G24" s="24"/>
      <c r="H24" s="24"/>
      <c r="I24" s="40"/>
      <c r="J24" s="40"/>
      <c r="L24" s="43" t="s">
        <v>179</v>
      </c>
      <c r="M24" s="44" t="str">
        <f aca="false">IF($U$4=0,"",IF($U$53=1,"✓ erfüllt","✗ nicht erfüllt"))</f>
        <v/>
      </c>
      <c r="N24" s="37" t="str">
        <f aca="false">IF($U$4=0,"",$U$12&amp;" mit 0 Punkten")</f>
        <v/>
      </c>
      <c r="T24" s="15" t="s">
        <v>180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B25" s="37" t="s">
        <v>181</v>
      </c>
      <c r="C25" s="38"/>
      <c r="D25" s="39"/>
      <c r="E25" s="24"/>
      <c r="F25" s="24"/>
      <c r="G25" s="24"/>
      <c r="H25" s="24"/>
      <c r="I25" s="40"/>
      <c r="J25" s="40"/>
      <c r="L25" s="43" t="s">
        <v>182</v>
      </c>
      <c r="M25" s="44" t="str">
        <f aca="false">IF($U$4=0,"",IF($U$56=1,"✓ erfüllt","✗ nicht erfüllt"))</f>
        <v/>
      </c>
      <c r="N25" s="37"/>
      <c r="T25" s="15" t="s">
        <v>183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L26" s="43" t="s">
        <v>184</v>
      </c>
      <c r="M26" s="44" t="str">
        <f aca="false">IF($U$4=0,"",IF($U$61=1,"✓ erfüllt","✗ nicht erfüllt"))</f>
        <v/>
      </c>
      <c r="N26" s="37" t="str">
        <f aca="false">IF($U$4=0,"",$U$59&amp;" Punkte")</f>
        <v/>
      </c>
      <c r="T26" s="15" t="s">
        <v>185</v>
      </c>
      <c r="U26" s="15" t="n">
        <f aca="false">2</f>
        <v>2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22.35" hidden="false" customHeight="false" outlineLevel="0" collapsed="false">
      <c r="L27" s="43" t="str">
        <f aca="false">"In mindestens "&amp;$U$26&amp;" Prüfungen mindestens 5 Punkte (einfach), davon eine im 1./2. Prüfungsfach"</f>
        <v>In mindestens 2 Prüfungen mindestens 5 Punkte (einfach), davon eine im 1./2. Prüfungsfach</v>
      </c>
      <c r="M27" s="44" t="str">
        <f aca="false">IF($U$4=0,"",IF($U$62=1,"✓ erfüllt","✗ nicht erfüllt"))</f>
        <v/>
      </c>
      <c r="N27" s="37" t="str">
        <f aca="false">IF($U$4=0,"",$U$60&amp;" Prüfungen")</f>
        <v/>
      </c>
      <c r="T27" s="15" t="s">
        <v>186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187</v>
      </c>
      <c r="L28" s="43" t="s">
        <v>188</v>
      </c>
      <c r="M28" s="44" t="str">
        <f aca="false">IF($U$4=0,"",IF($U$65=1,"✓ erfüllt","✗ nicht erfüllt"))</f>
        <v/>
      </c>
      <c r="N28" s="37" t="str">
        <f aca="false">IF($U$4=0,"",$U$64&amp;" Punkte")</f>
        <v/>
      </c>
      <c r="T28" s="15" t="s">
        <v>189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190</v>
      </c>
      <c r="T29" s="15" t="s">
        <v>191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192</v>
      </c>
      <c r="L30" s="45" t="s">
        <v>193</v>
      </c>
      <c r="T30" s="15" t="s">
        <v>194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195</v>
      </c>
      <c r="L31" s="8" t="s">
        <v>196</v>
      </c>
      <c r="T31" s="15" t="s">
        <v>197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198</v>
      </c>
      <c r="L32" s="46" t="s">
        <v>199</v>
      </c>
      <c r="T32" s="15" t="s">
        <v>200</v>
      </c>
      <c r="U32" s="15" t="n">
        <f aca="false">IF(AND($U$22&gt;=$U$26,$U$23&gt;=1),1,0)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201</v>
      </c>
      <c r="L33" s="47" t="s">
        <v>202</v>
      </c>
      <c r="T33" s="15" t="s">
        <v>203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204</v>
      </c>
      <c r="T34" s="15" t="s">
        <v>205</v>
      </c>
      <c r="U34" s="15" t="n">
        <f aca="false">INDEX($DG$3:$DG$3,$U$13)+$U$27</f>
        <v>37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9" t="s">
        <v>206</v>
      </c>
      <c r="T35" s="15" t="s">
        <v>207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50" t="s">
        <v>208</v>
      </c>
      <c r="L36" s="49" t="s">
        <v>209</v>
      </c>
      <c r="T36" s="15" t="s">
        <v>210</v>
      </c>
      <c r="U36" s="15" t="n">
        <f aca="false">IF($U$35=1,INDEX($CQ$3:$CQ$3,$U$13),INDEX($CQ$23:$CQ$23,$U$14))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L37" s="49" t="s">
        <v>211</v>
      </c>
      <c r="T37" s="15" t="s">
        <v>212</v>
      </c>
      <c r="U37" s="15" t="n">
        <f aca="false">IF($U$35=1,INDEX($CK$3:$CK$3,$U$13),INDEX($CK$23:$CK$23,$U$14))</f>
        <v>32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1" t="s">
        <v>213</v>
      </c>
      <c r="T38" s="15" t="s">
        <v>214</v>
      </c>
      <c r="U38" s="15" t="n">
        <f aca="false">IF($U$35=1,INDEX($CR$3:$CR$3,$U$13),INDEX($CR$23:$CR$23,$U$14))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2" t="s">
        <v>215</v>
      </c>
      <c r="T39" s="15" t="s">
        <v>216</v>
      </c>
      <c r="U39" s="15" t="n">
        <f aca="false">IF($U$35=1,INDEX($CS$3:$CS$3,$U$13),INDEX($CS$23:$CS$23,$U$14))</f>
        <v>99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217</v>
      </c>
      <c r="U40" s="15" t="n">
        <f aca="false">IF($U$35=1,INDEX($CT$3:$CT$3,$U$13),INDEX($CT$23:$CT$23,$U$14))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218</v>
      </c>
      <c r="U41" s="15" t="n">
        <f aca="false">IF($U$35=1,INDEX($CL$3:$CL$3,$U$13),INDEX($CL$23:$CL$23,$U$14))</f>
        <v>112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219</v>
      </c>
      <c r="U42" s="15" t="n">
        <f aca="false">IF($U$35=1,INDEX($CU$3:$CU$3,$U$13),INDEX($CU$23:$CU$23,$U$14))</f>
        <v>168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220</v>
      </c>
      <c r="U43" s="15" t="n">
        <f aca="false">IF($U$35=1,INDEX($CP$3:$CP$3,$U$13),INDEX($CP$23:$CP$23,$U$14))</f>
        <v>40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221</v>
      </c>
      <c r="U44" s="15" t="n">
        <f aca="false">IF($U$35=1,INDEX($CO$3:$CO$3,$U$13),INDEX($CO$23:$CO$23,$U$14))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222</v>
      </c>
      <c r="U45" s="15" t="n">
        <f aca="false">IF($U$35=1,INDEX($CH$3:$CH$3,$U$13),INDEX($CH$23:$CH$23,$U$14))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223</v>
      </c>
      <c r="U46" s="15" t="n">
        <f aca="false">IF($U$35=1,INDEX($DF$3:$DF$3,$U$13),INDEX($DF$23:$DF$23,$U$14))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224</v>
      </c>
      <c r="U47" s="15" t="n">
        <f aca="false">IF($U$35=1,INDEX($CV$3:$CV$3,$U$13),INDEX($CV$23:$CV$23,$U$14))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225</v>
      </c>
      <c r="U48" s="15" t="n">
        <f aca="false">IF($U$35=1,INDEX($CW$3:$CW$3,$U$13),INDEX($CW$23:$CW$23,$U$14))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226</v>
      </c>
      <c r="U49" s="15" t="n">
        <f aca="false">IF($U$35=1,INDEX($CX$3:$CX$3,$U$13),INDEX($CX$23:$CX$23,$U$14))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227</v>
      </c>
      <c r="U50" s="15" t="n">
        <f aca="false">IF($U$35=1,INDEX($CY$3:$CY$3,$U$13),INDEX($CY$23:$CY$23,$U$14))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228</v>
      </c>
      <c r="U51" s="15" t="n">
        <f aca="false">IF($U$35=1,INDEX($CZ$3:$CZ$3,$U$13),INDEX($CZ$23:$CZ$23,$U$14))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229</v>
      </c>
      <c r="U52" s="15" t="n">
        <f aca="false">IF($U$35=1,INDEX($DA$3:$DA$3,$U$13),INDEX($DA$23:$DA$23,$U$14))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230</v>
      </c>
      <c r="U53" s="15" t="n">
        <f aca="false">IF($U$35=1,INDEX($DB$3:$DB$3,$U$13),INDEX($DB$23:$DB$23,$U$14))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231</v>
      </c>
      <c r="U54" s="15" t="n">
        <f aca="false">IF($U$35=1,INDEX($DC$3:$DC$3,$U$13),INDEX($DC$23:$DC$23,$U$14))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232</v>
      </c>
      <c r="U55" s="15" t="n">
        <f aca="false">IF($U$35=1,INDEX($DD$3:$DD$3,$U$13),INDEX($DD$23:$DD$23,$U$14))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233</v>
      </c>
      <c r="U56" s="15" t="n">
        <f aca="false">IF($U$35=1,INDEX($DE$3:$DE$3,$U$13),INDEX($DE$23:$DE$23,$U$14))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234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235</v>
      </c>
      <c r="U58" s="15" t="n">
        <f aca="false">IF($U$35=1,$U$9,$V$9)</f>
        <v>0</v>
      </c>
      <c r="BZ58" s="15" t="n">
        <f aca="false">IFERROR(LARGE($AH$6:$AK$25,57),0)</f>
        <v>0</v>
      </c>
      <c r="CA58" s="15" t="n">
        <f aca="false">CA57+BZ58</f>
        <v>0</v>
      </c>
      <c r="CB58" s="15" t="n">
        <f aca="false">IFERROR(LARGE($AM$6:$AP$25,57),0)</f>
        <v>0</v>
      </c>
      <c r="CC58" s="15" t="n">
        <f aca="false">CC57+CB58</f>
        <v>0</v>
      </c>
    </row>
    <row r="59" customFormat="false" ht="15" hidden="false" customHeight="false" outlineLevel="0" collapsed="false">
      <c r="T59" s="15" t="s">
        <v>236</v>
      </c>
      <c r="U59" s="15" t="n">
        <f aca="false">IF($U$35=1,$U$16,$U$21)</f>
        <v>140</v>
      </c>
      <c r="BZ59" s="15" t="n">
        <f aca="false">IFERROR(LARGE($AH$6:$AK$25,58),0)</f>
        <v>0</v>
      </c>
      <c r="CA59" s="15" t="n">
        <f aca="false">CA58+BZ59</f>
        <v>0</v>
      </c>
      <c r="CB59" s="15" t="n">
        <f aca="false">IFERROR(LARGE($AM$6:$AP$25,58),0)</f>
        <v>0</v>
      </c>
      <c r="CC59" s="15" t="n">
        <f aca="false">CC58+CB59</f>
        <v>0</v>
      </c>
    </row>
    <row r="60" customFormat="false" ht="15" hidden="false" customHeight="false" outlineLevel="0" collapsed="false">
      <c r="T60" s="15" t="s">
        <v>237</v>
      </c>
      <c r="U60" s="15" t="n">
        <f aca="false">IF($U$35=1,$U$17,$U$22)</f>
        <v>5</v>
      </c>
      <c r="BZ60" s="15" t="n">
        <f aca="false">IFERROR(LARGE($AH$6:$AK$25,59),0)</f>
        <v>0</v>
      </c>
      <c r="CA60" s="15" t="n">
        <f aca="false">CA59+BZ60</f>
        <v>0</v>
      </c>
      <c r="CB60" s="15" t="n">
        <f aca="false">IFERROR(LARGE($AM$6:$AP$25,59),0)</f>
        <v>0</v>
      </c>
      <c r="CC60" s="15" t="n">
        <f aca="false">CC59+CB60</f>
        <v>0</v>
      </c>
    </row>
    <row r="61" customFormat="false" ht="15" hidden="false" customHeight="false" outlineLevel="0" collapsed="false">
      <c r="T61" s="15" t="s">
        <v>238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239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240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151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241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242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243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244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245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8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schulgesetz-berlin.de/berlin/verordnung-ueber-die-gymnasiale-oberstufe/teil-iii-durchfuehrung-der-gymnasialen-oberstufe/kapitel-3-qualifikationsphase/sect-26-gesamtqualifikation.php"/>
    <hyperlink ref="B38" r:id="rId3" display="Online-Rechner Berlin mit Statistik und PDF-Download: https://www.abi-rechner.com/bundeslander/berli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Berlin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3" t="s">
        <v>246</v>
      </c>
    </row>
    <row r="2" customFormat="false" ht="15" hidden="false" customHeight="false" outlineLevel="0" collapsed="false">
      <c r="B2" s="2" t="s">
        <v>247</v>
      </c>
    </row>
    <row r="4" customFormat="false" ht="15" hidden="false" customHeight="false" outlineLevel="0" collapsed="false">
      <c r="B4" s="42" t="s">
        <v>127</v>
      </c>
      <c r="C4" s="42" t="s">
        <v>248</v>
      </c>
      <c r="D4" s="42" t="s">
        <v>249</v>
      </c>
      <c r="F4" s="42" t="s">
        <v>250</v>
      </c>
      <c r="G4" s="42" t="s">
        <v>251</v>
      </c>
      <c r="H4" s="6" t="s">
        <v>252</v>
      </c>
    </row>
    <row r="5" customFormat="false" ht="15" hidden="false" customHeight="false" outlineLevel="0" collapsed="false">
      <c r="B5" s="54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5" t="n">
        <v>15</v>
      </c>
      <c r="G5" s="10" t="s">
        <v>253</v>
      </c>
      <c r="H5" s="11" t="s">
        <v>254</v>
      </c>
    </row>
    <row r="6" customFormat="false" ht="15" hidden="false" customHeight="false" outlineLevel="0" collapsed="false">
      <c r="B6" s="54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5" t="n">
        <v>14</v>
      </c>
      <c r="G6" s="10" t="s">
        <v>255</v>
      </c>
      <c r="H6" s="11" t="s">
        <v>254</v>
      </c>
    </row>
    <row r="7" customFormat="false" ht="15" hidden="false" customHeight="false" outlineLevel="0" collapsed="false">
      <c r="B7" s="54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5" t="n">
        <v>13</v>
      </c>
      <c r="G7" s="10" t="s">
        <v>256</v>
      </c>
      <c r="H7" s="11" t="s">
        <v>254</v>
      </c>
    </row>
    <row r="8" customFormat="false" ht="15" hidden="false" customHeight="false" outlineLevel="0" collapsed="false">
      <c r="B8" s="54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5" t="n">
        <v>12</v>
      </c>
      <c r="G8" s="10" t="s">
        <v>257</v>
      </c>
      <c r="H8" s="11" t="s">
        <v>258</v>
      </c>
    </row>
    <row r="9" customFormat="false" ht="15" hidden="false" customHeight="false" outlineLevel="0" collapsed="false">
      <c r="B9" s="54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5" t="n">
        <v>11</v>
      </c>
      <c r="G9" s="10" t="s">
        <v>259</v>
      </c>
      <c r="H9" s="11" t="s">
        <v>258</v>
      </c>
    </row>
    <row r="10" customFormat="false" ht="15" hidden="false" customHeight="false" outlineLevel="0" collapsed="false">
      <c r="B10" s="54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5" t="n">
        <v>10</v>
      </c>
      <c r="G10" s="10" t="s">
        <v>260</v>
      </c>
      <c r="H10" s="11" t="s">
        <v>258</v>
      </c>
    </row>
    <row r="11" customFormat="false" ht="15" hidden="false" customHeight="false" outlineLevel="0" collapsed="false">
      <c r="B11" s="54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5" t="n">
        <v>9</v>
      </c>
      <c r="G11" s="10" t="s">
        <v>261</v>
      </c>
      <c r="H11" s="11" t="s">
        <v>262</v>
      </c>
    </row>
    <row r="12" customFormat="false" ht="15" hidden="false" customHeight="false" outlineLevel="0" collapsed="false">
      <c r="B12" s="54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5" t="n">
        <v>8</v>
      </c>
      <c r="G12" s="10" t="s">
        <v>263</v>
      </c>
      <c r="H12" s="11" t="s">
        <v>262</v>
      </c>
    </row>
    <row r="13" customFormat="false" ht="15" hidden="false" customHeight="false" outlineLevel="0" collapsed="false">
      <c r="B13" s="54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5" t="n">
        <v>7</v>
      </c>
      <c r="G13" s="10" t="s">
        <v>264</v>
      </c>
      <c r="H13" s="11" t="s">
        <v>262</v>
      </c>
    </row>
    <row r="14" customFormat="false" ht="15" hidden="false" customHeight="false" outlineLevel="0" collapsed="false">
      <c r="B14" s="54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5" t="n">
        <v>6</v>
      </c>
      <c r="G14" s="10" t="s">
        <v>265</v>
      </c>
      <c r="H14" s="11" t="s">
        <v>266</v>
      </c>
    </row>
    <row r="15" customFormat="false" ht="15" hidden="false" customHeight="false" outlineLevel="0" collapsed="false">
      <c r="B15" s="54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5" t="n">
        <v>5</v>
      </c>
      <c r="G15" s="10" t="s">
        <v>267</v>
      </c>
      <c r="H15" s="11" t="s">
        <v>266</v>
      </c>
    </row>
    <row r="16" customFormat="false" ht="15" hidden="false" customHeight="false" outlineLevel="0" collapsed="false">
      <c r="B16" s="54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5" t="n">
        <v>4</v>
      </c>
      <c r="G16" s="10" t="s">
        <v>268</v>
      </c>
      <c r="H16" s="11" t="s">
        <v>266</v>
      </c>
    </row>
    <row r="17" customFormat="false" ht="15" hidden="false" customHeight="false" outlineLevel="0" collapsed="false">
      <c r="B17" s="54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5" t="n">
        <v>3</v>
      </c>
      <c r="G17" s="10" t="s">
        <v>269</v>
      </c>
      <c r="H17" s="11" t="s">
        <v>270</v>
      </c>
    </row>
    <row r="18" customFormat="false" ht="15" hidden="false" customHeight="false" outlineLevel="0" collapsed="false">
      <c r="B18" s="54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5" t="n">
        <v>2</v>
      </c>
      <c r="G18" s="10" t="s">
        <v>24</v>
      </c>
      <c r="H18" s="11" t="s">
        <v>270</v>
      </c>
    </row>
    <row r="19" customFormat="false" ht="15" hidden="false" customHeight="false" outlineLevel="0" collapsed="false">
      <c r="B19" s="54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5" t="n">
        <v>1</v>
      </c>
      <c r="G19" s="10" t="s">
        <v>271</v>
      </c>
      <c r="H19" s="11" t="s">
        <v>270</v>
      </c>
    </row>
    <row r="20" customFormat="false" ht="15" hidden="false" customHeight="false" outlineLevel="0" collapsed="false">
      <c r="B20" s="54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5" t="n">
        <v>0</v>
      </c>
      <c r="G20" s="10" t="s">
        <v>272</v>
      </c>
      <c r="H20" s="11" t="s">
        <v>273</v>
      </c>
    </row>
    <row r="21" customFormat="false" ht="15" hidden="false" customHeight="false" outlineLevel="0" collapsed="false">
      <c r="B21" s="54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4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274</v>
      </c>
    </row>
    <row r="23" customFormat="false" ht="15" hidden="false" customHeight="false" outlineLevel="0" collapsed="false">
      <c r="B23" s="54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4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4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4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4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4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4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4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4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4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4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4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4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2026-09-23T23:59:37Z</dcterms:created>
  <dc:creator>abi-rechner.com</dc:creator>
  <dc:description/>
  <cp:keywords>Abi-Rechner Abiturnote Excel Abitur 2027</cp:keywords>
  <dc:language>en-US</dc:language>
  <cp:lastModifiedBy/>
  <dcterms:modified xsi:type="dcterms:W3CDTF">2026-09-23T23:59:37Z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