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Brandenburg" sheetId="2" state="visible" r:id="rId4"/>
    <sheet name="Punktetabelle" sheetId="3" state="visible" r:id="rId5"/>
  </sheets>
  <definedNames>
    <definedName function="false" hidden="false" localSheetId="1" name="_xlnm.Print_Area" vbProcedure="false">Brandenburg!$A$1:$N$40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<sst xmlns="http://schemas.openxmlformats.org/spreadsheetml/2006/main" count="338" uniqueCount="280">
  <si>
    <t xml:space="preserve">Abi-Rechner Brandenburg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</si>
  <si>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</si>
  <si>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</si>
  <si>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</si>
  <si>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</si>
  <si>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</si>
  <si>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</si>
  <si>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</si>
  <si>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</si>
  <si>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</si>
  <si>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</si>
  <si>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</si>
  <si>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</si>
  <si>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</si>
  <si>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</si>
  <si>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</si>
  <si>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</si>
  <si>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</si>
  <si>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</si>
  <si>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</si>
  <si>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</si>
  <si>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</si>
  <si>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Brandenburg</t>
  </si>
  <si>
    <t xml:space="preserve">38 / 36 (ab 2028)</t>
  </si>
  <si>
    <t xml:space="preserve">4 (+1 optional)</t>
  </si>
  <si>
    <t xml:space="preserve">Abitur 2027 (GOSTV Fassung 2021)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</si>
  <si>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</si>
  <si>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</si>
  <si>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</si>
  <si>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</si>
  <si>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</si>
  <si>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</si>
  <si>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</si>
  <si>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Brandenburg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</si>
  <si>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</si>
  <si>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</si>
  <si>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</si>
  <si>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</si>
  <si>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</si>
  <si>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</si>
  <si>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</si>
  <si>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</si>
  <si>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</si>
  <si>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</si>
  <si>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</si>
  <si>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</si>
  <si>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</si>
  <si>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</si>
  <si>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</si>
  <si>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</si>
  <si>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</si>
  <si>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</si>
  <si>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</si>
  <si>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</si>
  <si>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</si>
  <si>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</si>
  <si>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</si>
  <si>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</si>
  <si>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</si>
  <si>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</si>
  <si>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</si>
  <si>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</si>
  <si>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</si>
  <si>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</si>
  <si>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</si>
  <si>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</si>
  <si>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</si>
  <si>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</si>
  <si>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</si>
  <si>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</si>
  <si>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</si>
  <si>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Abiturjahrgang (2027 oder 2028 und später)</t>
  </si>
  <si>
    <t xml:space="preserve">2027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</si>
  <si>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</si>
  <si>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</si>
  <si>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</si>
  <si>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</si>
  <si>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</si>
  <si>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</si>
  <si>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</si>
  <si>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</si>
  <si>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</si>
  <si>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</si>
  <si>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</si>
  <si>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</si>
  <si>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</si>
  <si>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</si>
  <si>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</si>
  <si>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</si>
  <si>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</si>
  <si>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</si>
  <si>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</si>
  <si>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</si>
  <si>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</si>
  <si>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</si>
  <si>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</si>
  <si>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</si>
  <si>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</si>
  <si>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</si>
  <si>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</si>
  <si>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</si>
  <si>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</si>
  <si>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</si>
  <si>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</si>
  <si>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</si>
  <si>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</si>
  <si>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</si>
  <si>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</si>
  <si>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</si>
  <si>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</si>
  <si>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Leistungskurs, schriftlich · zählt doppelt</t>
  </si>
  <si>
    <t xml:space="preserve">Abi</t>
  </si>
  <si>
    <t xml:space="preserve">Status</t>
  </si>
  <si>
    <t xml:space="preserve">fehlende Pflicht-Halbjahre</t>
  </si>
  <si>
    <t xml:space="preserve">2. Prüfungsfach
Leistungskurs, schriftlich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</si>
  <si>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</si>
  <si>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</si>
  <si>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</si>
  <si>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Grundkurs,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</si>
  <si>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</si>
  <si>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</si>
  <si>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</si>
  <si>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Grundkurs, 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</si>
  <si>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</si>
  <si>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</si>
  <si>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</si>
  <si>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</si>
  <si>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Weitere Kurse</t>
  </si>
  <si>
    <t xml:space="preserve">Pflicht (x)</t>
  </si>
  <si>
    <t xml:space="preserve">Abiturnote</t>
  </si>
  <si>
    <t xml:space="preserve">UK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</si>
  <si>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</si>
  <si>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</si>
  <si>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</si>
  <si>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</si>
  <si>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</si>
  <si>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</si>
  <si>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</si>
  <si>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Bis zur nächsten besseren Note</t>
  </si>
  <si>
    <t xml:space="preserve">Summe GK (Pflicht)</t>
  </si>
  <si>
    <t xml:space="preserve">Kurs 2</t>
  </si>
  <si>
    <t xml:space="preserve">Puffer bis zur schlechteren Note</t>
  </si>
  <si>
    <t xml:space="preserve">Pflicht-HJ mit 0 Punkten</t>
  </si>
  <si>
    <t xml:space="preserve">Kurs 3</t>
  </si>
  <si>
    <t xml:space="preserve">Eingebrachte Halbjahre</t>
  </si>
  <si>
    <t xml:space="preserve">beste Variante A</t>
  </si>
  <si>
    <t xml:space="preserve">Kurs 4</t>
  </si>
  <si>
    <t xml:space="preserve">Unterkurse (unter 5 Punkten)</t>
  </si>
  <si>
    <t xml:space="preserve">Grenzen siehe Bedingungen</t>
  </si>
  <si>
    <t xml:space="preserve">beste Variante F</t>
  </si>
  <si>
    <t xml:space="preserve">Kurs 5</t>
  </si>
  <si>
    <t xml:space="preserve">Hebel: +1 Punkt in einer Prüfung</t>
  </si>
  <si>
    <t xml:space="preserve">Gesamtpunkte</t>
  </si>
  <si>
    <t xml:space="preserve">optionale Prüfung</t>
  </si>
  <si>
    <t xml:space="preserve">Kurs 6</t>
  </si>
  <si>
    <t xml:space="preserve">Hebel: +1 Punkt in einem Halbjahr</t>
  </si>
  <si>
    <t xml:space="preserve">Gesamtpunkte (einfach gewertetes HJ)</t>
  </si>
  <si>
    <t xml:space="preserve">Faktor Prüfungen</t>
  </si>
  <si>
    <t xml:space="preserve">Kurs 7</t>
  </si>
  <si>
    <t xml:space="preserve">Block II A</t>
  </si>
  <si>
    <t xml:space="preserve">Kurs 8</t>
  </si>
  <si>
    <t xml:space="preserve">Bedingungen für die Zulassung / das Bestehen</t>
  </si>
  <si>
    <t xml:space="preserve">Wert</t>
  </si>
  <si>
    <t xml:space="preserve">&gt;=5 Punkte A</t>
  </si>
  <si>
    <t xml:space="preserve">Kurs 9</t>
  </si>
  <si>
    <t xml:space="preserve">Block I mindestens 200 Punkte</t>
  </si>
  <si>
    <t xml:space="preserve">&gt;=5 in Pflichtfächern A</t>
  </si>
  <si>
    <t xml:space="preserve">Kurs 10</t>
  </si>
  <si>
    <t xml:space="preserve">Höchstens 3 Unterkurse in den Leistungs-/eA-Fächern</t>
  </si>
  <si>
    <t xml:space="preserve">Prüfung 0 A</t>
  </si>
  <si>
    <t xml:space="preserve">Kurs 11</t>
  </si>
  <si>
    <t xml:space="preserve">Höchstens 4 Unterkurse in den Grundkursen</t>
  </si>
  <si>
    <t xml:space="preserve">unter Mindestpunktzahl A</t>
  </si>
  <si>
    <t xml:space="preserve">Kurs 12</t>
  </si>
  <si>
    <t xml:space="preserve">Keine Pflicht-Halbjahre mit 0 Punkten</t>
  </si>
  <si>
    <t xml:space="preserve">Block II F</t>
  </si>
  <si>
    <t xml:space="preserve">Kurs 13</t>
  </si>
  <si>
    <t xml:space="preserve">Nicht mehr Pflichtkurse markiert, als eingebracht werden dürfen</t>
  </si>
  <si>
    <t xml:space="preserve">&gt;=5 Punkte F</t>
  </si>
  <si>
    <t xml:space="preserve">Kurs 14</t>
  </si>
  <si>
    <t xml:space="preserve">Block II mindestens 100 Punkte</t>
  </si>
  <si>
    <t xml:space="preserve">&gt;=5 in Pflichtfächern F</t>
  </si>
  <si>
    <t xml:space="preserve">Prüfung 0 F</t>
  </si>
  <si>
    <t xml:space="preserve">Besondere Lernleistung
optional – dann zählen alle Prüfungen vierfach</t>
  </si>
  <si>
    <t xml:space="preserve">optional</t>
  </si>
  <si>
    <t xml:space="preserve">Keine Prüfung mit 0 Punkten</t>
  </si>
  <si>
    <t xml:space="preserve">unter Mindestpunktzahl F</t>
  </si>
  <si>
    <t xml:space="preserve">Gesamtpunktzahl mindestens 300</t>
  </si>
  <si>
    <t xml:space="preserve">nötige Prüfungen &gt;=5</t>
  </si>
  <si>
    <t xml:space="preserve">Die Regeln in Brandenburg kurz erklärt</t>
  </si>
  <si>
    <t xml:space="preserve">fehlende Prüfungen</t>
  </si>
  <si>
    <t xml:space="preserve">Legende</t>
  </si>
  <si>
    <t xml:space="preserve">B2 Bedingung 0 A</t>
  </si>
  <si>
    <t xml:space="preserve">Eingabefeld (Punkte 0–15)</t>
  </si>
  <si>
    <t xml:space="preserve">B2 Bedingung 1 A</t>
  </si>
  <si>
    <t xml:space="preserve">• Höchstens 3 LK-Halbjahre und 4 GK-Halbjahre unter 5 Punkten, keine 0 Punkte.</t>
  </si>
  <si>
    <t xml:space="preserve">Halbjahr wird eingebracht</t>
  </si>
  <si>
    <t xml:space="preserve">B2 Bedingung 2 A</t>
  </si>
  <si>
    <t xml:space="preserve">• Block II: 4 Prüfungen fünffach – mit besonderer Lernleistung 5 Prüfungen vierfach.</t>
  </si>
  <si>
    <t xml:space="preserve">eingebracht, aber Unterkurs (unter 5 Punkten)</t>
  </si>
  <si>
    <t xml:space="preserve">B2 gültig A</t>
  </si>
  <si>
    <t xml:space="preserve">• Bestehen Block II: mind. 100 Punkte, in 3 Prüfungen mind. 5 Punkte, keine Prüfung mit 0 Punkten.</t>
  </si>
  <si>
    <t xml:space="preserve">wird nicht eingebracht (Streichergebnis)</t>
  </si>
  <si>
    <t xml:space="preserve">B2 Bedingung 0 F</t>
  </si>
  <si>
    <t xml:space="preserve">B2 Bedingung 1 F</t>
  </si>
  <si>
    <t xml:space="preserve">Quelle: GOSTV Brandenburg § 30, Anlage 1</t>
  </si>
  <si>
    <t xml:space="preserve">Die Tabelle wählt automatisch die günstigsten Halbjahre aus.</t>
  </si>
  <si>
    <t xml:space="preserve">B2 Bedingung 2 F</t>
  </si>
  <si>
    <t xml:space="preserve">https://bravors.brandenburg.de/verordnungen/gostv/9</t>
  </si>
  <si>
    <t xml:space="preserve">Blattschutz ohne Passwort: Überprüfen → Blatt schützen aufheben.</t>
  </si>
  <si>
    <t xml:space="preserve">B2 gültig F</t>
  </si>
  <si>
    <t xml:space="preserve">fehlende Eingaben</t>
  </si>
  <si>
    <t xml:space="preserve">Online-Rechner Brandenburg mit Statistik und PDF-Download: https://www.abi-rechner.com/bundeslander/brandenburg/</t>
  </si>
  <si>
    <t xml:space="preserve">vollständig</t>
  </si>
  <si>
    <t xml:space="preserve">Alle Angaben ohne Gewähr. Maßgeblich ist die Oberstufenverordnung deines Landes und die Auskunft deiner Schule.</t>
  </si>
  <si>
    <t xml:space="preserve">m_pts</t>
  </si>
  <si>
    <t xml:space="preserve">m_cnt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</si>
  <si>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</si>
  <si>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</si>
  <si>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</si>
  <si>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</si>
  <si>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</si>
  <si>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</si>
  <si>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</si>
  <si>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</si>
  <si>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</si>
  <si>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</si>
  <si>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</si>
  <si>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</si>
  <si>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</si>
  <si>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</si>
  <si>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</si>
  <si>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</si>
  <si>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</si>
  <si>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</si>
  <si>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</si>
  <si>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</si>
  <si>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</si>
  <si>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</si>
  <si>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</si>
  <si>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</si>
  <si>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</si>
  <si>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m_b2c2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</si>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</sst>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bravors.brandenburg.de/verordnungen/gostv/9" TargetMode="External"/><Relationship Id="rId3" Type="http://schemas.openxmlformats.org/officeDocument/2006/relationships/hyperlink" Target="https://www.abi-rechner.com/bundeslander/brandenburg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Brandenburg'!A1" display="Brandenburg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tr">
        <f aca="false">IF($M$3&amp;""="2028","Abitur 2028 und später (GOSTV 2025)","Abitur 2027 (GOSTV Fassung 2021)")&amp;" · Stand: September 2026 · abi-rechner.com"</f>
        <v>Abitur 2027 (GOSTV Fassung 2021) · Stand: September 2026 · abi-rechner.com</v>
      </c>
      <c r="T2" s="15" t="s">
        <v>39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40</v>
      </c>
      <c r="CF2" s="15" t="s">
        <v>41</v>
      </c>
      <c r="CG2" s="15" t="s">
        <v>42</v>
      </c>
      <c r="CH2" s="15" t="s">
        <v>43</v>
      </c>
      <c r="CI2" s="15" t="s">
        <v>44</v>
      </c>
      <c r="CJ2" s="15" t="s">
        <v>45</v>
      </c>
      <c r="CK2" s="15" t="s">
        <v>46</v>
      </c>
      <c r="CL2" s="15" t="s">
        <v>47</v>
      </c>
      <c r="CM2" s="15" t="s">
        <v>48</v>
      </c>
      <c r="CN2" s="15" t="s">
        <v>49</v>
      </c>
      <c r="CO2" s="15" t="s">
        <v>50</v>
      </c>
      <c r="CP2" s="15" t="s">
        <v>51</v>
      </c>
      <c r="CQ2" s="15" t="s">
        <v>52</v>
      </c>
      <c r="CR2" s="15" t="s">
        <v>53</v>
      </c>
      <c r="CS2" s="15" t="s">
        <v>54</v>
      </c>
      <c r="CT2" s="15" t="s">
        <v>55</v>
      </c>
      <c r="CU2" s="15" t="s">
        <v>56</v>
      </c>
      <c r="CV2" s="15" t="s">
        <v>57</v>
      </c>
      <c r="CW2" s="15" t="s">
        <v>58</v>
      </c>
      <c r="CX2" s="15" t="s">
        <v>59</v>
      </c>
      <c r="CY2" s="15" t="s">
        <v>60</v>
      </c>
      <c r="CZ2" s="15" t="s">
        <v>61</v>
      </c>
      <c r="DA2" s="15" t="s">
        <v>62</v>
      </c>
      <c r="DB2" s="15" t="s">
        <v>63</v>
      </c>
      <c r="DC2" s="15" t="s">
        <v>64</v>
      </c>
      <c r="DD2" s="15" t="s">
        <v>65</v>
      </c>
      <c r="DE2" s="15" t="s">
        <v>66</v>
      </c>
      <c r="DF2" s="15" t="s">
        <v>67</v>
      </c>
      <c r="DG2" s="15" t="s">
        <v>68</v>
      </c>
      <c r="DH2" s="15" t="s">
        <v>69</v>
      </c>
    </row>
    <row r="3" customFormat="false" ht="15" hidden="false" customHeight="false" outlineLevel="0" collapsed="false">
      <c r="B3" s="16" t="s">
        <v>70</v>
      </c>
      <c r="L3" s="17" t="s">
        <v>71</v>
      </c>
      <c r="M3" s="18" t="s">
        <v>72</v>
      </c>
      <c r="T3" s="15" t="s">
        <v>73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IF($M$3&amp;""="2028",36,38)</f>
        <v>38</v>
      </c>
      <c r="CF3" s="15" t="n">
        <f aca="false">CE3-$U$5-$U$6-0</f>
        <v>22</v>
      </c>
      <c r="CG3" s="15" t="n">
        <f aca="false">MAX(0,CF3)</f>
        <v>22</v>
      </c>
      <c r="CH3" s="15" t="n">
        <f aca="false">MIN(CG3,$U$7)</f>
        <v>0</v>
      </c>
      <c r="CI3" s="15" t="n">
        <f aca="false">CG3-CH3</f>
        <v>22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99</f>
        <v>99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1</f>
        <v>1</v>
      </c>
      <c r="CX3" s="15" t="n">
        <f aca="false">IF($U$9&lt;=3,1,0)</f>
        <v>1</v>
      </c>
      <c r="CY3" s="15" t="n">
        <f aca="false">IF(CT3&lt;=4,1,0)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38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74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</row>
    <row r="5" customFormat="false" ht="30" hidden="false" customHeight="true" outlineLevel="0" collapsed="false">
      <c r="B5" s="19" t="s">
        <v>9</v>
      </c>
      <c r="C5" s="19" t="s">
        <v>75</v>
      </c>
      <c r="D5" s="20"/>
      <c r="E5" s="20" t="s">
        <v>76</v>
      </c>
      <c r="F5" s="20" t="s">
        <v>77</v>
      </c>
      <c r="G5" s="20" t="s">
        <v>78</v>
      </c>
      <c r="H5" s="20" t="s">
        <v>79</v>
      </c>
      <c r="I5" s="20" t="s">
        <v>11</v>
      </c>
      <c r="J5" s="20" t="s">
        <v>80</v>
      </c>
      <c r="L5" s="21" t="s">
        <v>81</v>
      </c>
      <c r="M5" s="22"/>
      <c r="N5" s="22"/>
      <c r="T5" s="15" t="s">
        <v>82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83</v>
      </c>
      <c r="AM5" s="15" t="s">
        <v>84</v>
      </c>
      <c r="AR5" s="15" t="s">
        <v>85</v>
      </c>
      <c r="AW5" s="15" t="s">
        <v>86</v>
      </c>
      <c r="AX5" s="15" t="s">
        <v>87</v>
      </c>
      <c r="AY5" s="15" t="s">
        <v>88</v>
      </c>
      <c r="AZ5" s="15" t="s">
        <v>89</v>
      </c>
      <c r="BA5" s="15" t="s">
        <v>90</v>
      </c>
      <c r="BB5" s="15" t="s">
        <v>91</v>
      </c>
      <c r="BC5" s="15" t="s">
        <v>92</v>
      </c>
      <c r="BD5" s="15" t="s">
        <v>93</v>
      </c>
      <c r="BE5" s="15" t="s">
        <v>94</v>
      </c>
      <c r="BF5" s="15" t="s">
        <v>95</v>
      </c>
      <c r="BG5" s="15" t="s">
        <v>96</v>
      </c>
      <c r="BH5" s="15" t="s">
        <v>97</v>
      </c>
      <c r="BI5" s="15" t="s">
        <v>98</v>
      </c>
      <c r="BJ5" s="15" t="s">
        <v>99</v>
      </c>
      <c r="BK5" s="15" t="s">
        <v>100</v>
      </c>
      <c r="BL5" s="15" t="s">
        <v>101</v>
      </c>
      <c r="BN5" s="15" t="s">
        <v>102</v>
      </c>
      <c r="BO5" s="15" t="s">
        <v>103</v>
      </c>
      <c r="BP5" s="15" t="s">
        <v>104</v>
      </c>
      <c r="BQ5" s="15" t="s">
        <v>91</v>
      </c>
      <c r="BR5" s="15" t="s">
        <v>105</v>
      </c>
      <c r="BT5" s="15" t="s">
        <v>106</v>
      </c>
      <c r="BU5" s="15" t="s">
        <v>107</v>
      </c>
      <c r="BV5" s="15" t="s">
        <v>108</v>
      </c>
      <c r="BW5" s="15" t="s">
        <v>99</v>
      </c>
      <c r="BX5" s="15" t="s">
        <v>109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3" t="s">
        <v>110</v>
      </c>
      <c r="C6" s="24"/>
      <c r="D6" s="25" t="s">
        <v>111</v>
      </c>
      <c r="E6" s="26"/>
      <c r="F6" s="26"/>
      <c r="G6" s="26"/>
      <c r="H6" s="26"/>
      <c r="I6" s="27"/>
      <c r="J6" s="26"/>
      <c r="L6" s="28" t="s">
        <v>112</v>
      </c>
      <c r="M6" s="29" t="str">
        <f aca="false">IF($U$4=0,"Noch keine Eingaben – trag deine Punkte in die gelben Felder ein.",IF($U$38=1,"Endergebnis (alle Felder ausgefüllt)","Prognose: "&amp;$U$37&amp;" Felder offen, gefüllt mit deinem Schnitt von "&amp;FIXED($U$2,1)&amp;" Punkten"))</f>
        <v>Noch keine Eingaben – trag deine Punkte in die gelben Felder ein.</v>
      </c>
      <c r="N6" s="29"/>
      <c r="T6" s="15" t="s">
        <v>113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3" t="s">
        <v>114</v>
      </c>
      <c r="C7" s="24"/>
      <c r="D7" s="25" t="s">
        <v>111</v>
      </c>
      <c r="E7" s="26"/>
      <c r="F7" s="26"/>
      <c r="G7" s="26"/>
      <c r="H7" s="26"/>
      <c r="I7" s="27"/>
      <c r="J7" s="26"/>
      <c r="L7" s="28" t="s">
        <v>115</v>
      </c>
      <c r="M7" s="30" t="str">
        <f aca="false">IF($U$4=0,"",$U$39)</f>
        <v/>
      </c>
      <c r="N7" s="31" t="s">
        <v>116</v>
      </c>
      <c r="T7" s="15" t="s">
        <v>117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3" t="s">
        <v>118</v>
      </c>
      <c r="C8" s="24"/>
      <c r="D8" s="25" t="s">
        <v>111</v>
      </c>
      <c r="E8" s="26"/>
      <c r="F8" s="26"/>
      <c r="G8" s="26"/>
      <c r="H8" s="26"/>
      <c r="I8" s="27"/>
      <c r="J8" s="26"/>
      <c r="L8" s="28" t="s">
        <v>119</v>
      </c>
      <c r="M8" s="30" t="str">
        <f aca="false">IF($U$4=0,"",$U$62)</f>
        <v/>
      </c>
      <c r="N8" s="31" t="s">
        <v>120</v>
      </c>
      <c r="T8" s="15" t="s">
        <v>121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3" t="s">
        <v>122</v>
      </c>
      <c r="C9" s="24"/>
      <c r="D9" s="25" t="s">
        <v>111</v>
      </c>
      <c r="E9" s="26"/>
      <c r="F9" s="26"/>
      <c r="G9" s="26"/>
      <c r="H9" s="26"/>
      <c r="I9" s="27"/>
      <c r="J9" s="32" t="s">
        <v>123</v>
      </c>
      <c r="L9" s="33" t="s">
        <v>124</v>
      </c>
      <c r="M9" s="34" t="str">
        <f aca="false">IF($U$4=0,"",$U$68)</f>
        <v/>
      </c>
      <c r="N9" s="31" t="s">
        <v>125</v>
      </c>
      <c r="T9" s="15" t="s">
        <v>126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6" t="s">
        <v>127</v>
      </c>
      <c r="C10" s="6" t="s">
        <v>75</v>
      </c>
      <c r="D10" s="35" t="s">
        <v>128</v>
      </c>
      <c r="E10" s="36" t="s">
        <v>76</v>
      </c>
      <c r="F10" s="36" t="s">
        <v>77</v>
      </c>
      <c r="G10" s="36" t="s">
        <v>78</v>
      </c>
      <c r="H10" s="36" t="s">
        <v>79</v>
      </c>
      <c r="I10" s="22"/>
      <c r="J10" s="22"/>
      <c r="L10" s="33" t="s">
        <v>129</v>
      </c>
      <c r="M10" s="37" t="str">
        <f aca="false">IF($U$4=0,"",IF($U$70=1,$U$71/10,"nicht bestanden"))</f>
        <v/>
      </c>
      <c r="N10" s="31"/>
      <c r="T10" s="15" t="s">
        <v>130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131</v>
      </c>
      <c r="Y10" s="15" t="s">
        <v>132</v>
      </c>
      <c r="Z10" s="15" t="s">
        <v>133</v>
      </c>
      <c r="AA10" s="15" t="s">
        <v>134</v>
      </c>
      <c r="AB10" s="15" t="s">
        <v>90</v>
      </c>
      <c r="AC10" s="15" t="s">
        <v>91</v>
      </c>
      <c r="AD10" s="15" t="s">
        <v>135</v>
      </c>
      <c r="AE10" s="15" t="s">
        <v>136</v>
      </c>
      <c r="AF10" s="15" t="s">
        <v>98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38" t="s">
        <v>137</v>
      </c>
      <c r="C11" s="39"/>
      <c r="D11" s="40"/>
      <c r="E11" s="26"/>
      <c r="F11" s="26"/>
      <c r="G11" s="26"/>
      <c r="H11" s="26"/>
      <c r="I11" s="41"/>
      <c r="J11" s="41"/>
      <c r="L11" s="28" t="s">
        <v>138</v>
      </c>
      <c r="M11" s="30" t="str">
        <f aca="false">IF($U$4=0,"",IF($U$72="","–",$U$72))</f>
        <v/>
      </c>
      <c r="N11" s="31" t="str">
        <f aca="false">IF($U$4=0,"",IF($U$71="","Punkte bis 300",IF($U$72="","Bestnote erreicht","Punkte → "&amp;FIXED(($U$71-1)/10,1))))</f>
        <v/>
      </c>
      <c r="T11" s="15" t="s">
        <v>139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IF(Y11=1,IF(ISNUMBER(E11),1,0),IF(AH11="",0,IF(IF($U$38=1,COUNTIF($AH$6:$AK$24,"&gt;"&amp;AH11),COUNTIF($AM$6:$AP$24,"&gt;"&amp;AH11))+COUNTIF($AH$6:$AK$10,AH11)+1&lt;=$U$48,1,0)))</f>
        <v>0</v>
      </c>
      <c r="AS11" s="15" t="n">
        <f aca="false">IF(Y11=1,IF(ISNUMBER(F11),1,0),IF(AI11="",0,IF(IF($U$38=1,COUNTIF($AH$6:$AK$24,"&gt;"&amp;AI11),COUNTIF($AM$6:$AP$24,"&gt;"&amp;AI11))+COUNTIF($AH$6:$AK$10,AI11)+COUNTIF($AH11:AH11,AI11)+1&lt;=$U$48,1,0)))</f>
        <v>0</v>
      </c>
      <c r="AT11" s="15" t="n">
        <f aca="false">IF(Y11=1,IF(ISNUMBER(G11),1,0),IF(AJ11="",0,IF(IF($U$38=1,COUNTIF($AH$6:$AK$24,"&gt;"&amp;AJ11),COUNTIF($AM$6:$AP$24,"&gt;"&amp;AJ11))+COUNTIF($AH$6:$AK$10,AJ11)+COUNTIF($AH11:AI11,AJ11)+1&lt;=$U$48,1,0)))</f>
        <v>0</v>
      </c>
      <c r="AU11" s="15" t="n">
        <f aca="false">IF(Y11=1,IF(ISNUMBER(H11),1,0),IF(AK11="",0,IF(IF($U$38=1,COUNTIF($AH$6:$AK$24,"&gt;"&amp;AK11),COUNTIF($AM$6:$AP$24,"&gt;"&amp;AK11))+COUNTIF($AH$6:$AK$10,AK11)+COUNTIF($AH11:AJ11,AK11)+1&lt;=$U$48,1,0)))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8" t="s">
        <v>140</v>
      </c>
      <c r="C12" s="39"/>
      <c r="D12" s="40"/>
      <c r="E12" s="26"/>
      <c r="F12" s="26"/>
      <c r="G12" s="26"/>
      <c r="H12" s="26"/>
      <c r="I12" s="41"/>
      <c r="J12" s="41"/>
      <c r="L12" s="28" t="s">
        <v>141</v>
      </c>
      <c r="M12" s="30" t="str">
        <f aca="false">IF(OR($U$4=0,$U$73=""),"",$U$73)</f>
        <v/>
      </c>
      <c r="N12" s="31" t="str">
        <f aca="false">IF(OR($U$4=0,$U$73=""),"","Punkte Luft")</f>
        <v/>
      </c>
      <c r="T12" s="15" t="s">
        <v>142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IF(Y12=1,IF(ISNUMBER(E12),1,0),IF(AH12="",0,IF(IF($U$38=1,COUNTIF($AH$6:$AK$24,"&gt;"&amp;AH12),COUNTIF($AM$6:$AP$24,"&gt;"&amp;AH12))+COUNTIF($AH$6:$AK$11,AH12)+1&lt;=$U$48,1,0)))</f>
        <v>0</v>
      </c>
      <c r="AS12" s="15" t="n">
        <f aca="false">IF(Y12=1,IF(ISNUMBER(F12),1,0),IF(AI12="",0,IF(IF($U$38=1,COUNTIF($AH$6:$AK$24,"&gt;"&amp;AI12),COUNTIF($AM$6:$AP$24,"&gt;"&amp;AI12))+COUNTIF($AH$6:$AK$11,AI12)+COUNTIF($AH12:AH12,AI12)+1&lt;=$U$48,1,0)))</f>
        <v>0</v>
      </c>
      <c r="AT12" s="15" t="n">
        <f aca="false">IF(Y12=1,IF(ISNUMBER(G12),1,0),IF(AJ12="",0,IF(IF($U$38=1,COUNTIF($AH$6:$AK$24,"&gt;"&amp;AJ12),COUNTIF($AM$6:$AP$24,"&gt;"&amp;AJ12))+COUNTIF($AH$6:$AK$11,AJ12)+COUNTIF($AH12:AI12,AJ12)+1&lt;=$U$48,1,0)))</f>
        <v>0</v>
      </c>
      <c r="AU12" s="15" t="n">
        <f aca="false">IF(Y12=1,IF(ISNUMBER(H12),1,0),IF(AK12="",0,IF(IF($U$38=1,COUNTIF($AH$6:$AK$24,"&gt;"&amp;AK12),COUNTIF($AM$6:$AP$24,"&gt;"&amp;AK12))+COUNTIF($AH$6:$AK$11,AK12)+COUNTIF($AH12:AJ12,AK12)+1&lt;=$U$48,1,0)))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8" t="s">
        <v>143</v>
      </c>
      <c r="C13" s="39"/>
      <c r="D13" s="40"/>
      <c r="E13" s="26"/>
      <c r="F13" s="26"/>
      <c r="G13" s="26"/>
      <c r="H13" s="26"/>
      <c r="I13" s="41"/>
      <c r="J13" s="41"/>
      <c r="L13" s="28" t="s">
        <v>144</v>
      </c>
      <c r="M13" s="30" t="str">
        <f aca="false">IF($U$4=0,"",$U$40)</f>
        <v/>
      </c>
      <c r="N13" s="31" t="str">
        <f aca="false">IF($U$4=0,"","Formel: "&amp;FIXED($U$47,1)&amp;" / "&amp;$U$46&amp;" × 40")</f>
        <v/>
      </c>
      <c r="T13" s="15" t="s">
        <v>145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IF(Y13=1,IF(ISNUMBER(E13),1,0),IF(AH13="",0,IF(IF($U$38=1,COUNTIF($AH$6:$AK$24,"&gt;"&amp;AH13),COUNTIF($AM$6:$AP$24,"&gt;"&amp;AH13))+COUNTIF($AH$6:$AK$12,AH13)+1&lt;=$U$48,1,0)))</f>
        <v>0</v>
      </c>
      <c r="AS13" s="15" t="n">
        <f aca="false">IF(Y13=1,IF(ISNUMBER(F13),1,0),IF(AI13="",0,IF(IF($U$38=1,COUNTIF($AH$6:$AK$24,"&gt;"&amp;AI13),COUNTIF($AM$6:$AP$24,"&gt;"&amp;AI13))+COUNTIF($AH$6:$AK$12,AI13)+COUNTIF($AH13:AH13,AI13)+1&lt;=$U$48,1,0)))</f>
        <v>0</v>
      </c>
      <c r="AT13" s="15" t="n">
        <f aca="false">IF(Y13=1,IF(ISNUMBER(G13),1,0),IF(AJ13="",0,IF(IF($U$38=1,COUNTIF($AH$6:$AK$24,"&gt;"&amp;AJ13),COUNTIF($AM$6:$AP$24,"&gt;"&amp;AJ13))+COUNTIF($AH$6:$AK$12,AJ13)+COUNTIF($AH13:AI13,AJ13)+1&lt;=$U$48,1,0)))</f>
        <v>0</v>
      </c>
      <c r="AU13" s="15" t="n">
        <f aca="false">IF(Y13=1,IF(ISNUMBER(H13),1,0),IF(AK13="",0,IF(IF($U$38=1,COUNTIF($AH$6:$AK$24,"&gt;"&amp;AK13),COUNTIF($AM$6:$AP$24,"&gt;"&amp;AK13))+COUNTIF($AH$6:$AK$12,AK13)+COUNTIF($AH13:AJ13,AK13)+1&lt;=$U$48,1,0)))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8" t="s">
        <v>146</v>
      </c>
      <c r="C14" s="39"/>
      <c r="D14" s="40"/>
      <c r="E14" s="26"/>
      <c r="F14" s="26"/>
      <c r="G14" s="26"/>
      <c r="H14" s="26"/>
      <c r="I14" s="41"/>
      <c r="J14" s="41"/>
      <c r="L14" s="28" t="s">
        <v>147</v>
      </c>
      <c r="M14" s="30" t="str">
        <f aca="false">IF($U$4=0,"",$U$41)</f>
        <v/>
      </c>
      <c r="N14" s="31" t="s">
        <v>148</v>
      </c>
      <c r="T14" s="15" t="s">
        <v>149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IF(Y14=1,IF(ISNUMBER(E14),1,0),IF(AH14="",0,IF(IF($U$38=1,COUNTIF($AH$6:$AK$24,"&gt;"&amp;AH14),COUNTIF($AM$6:$AP$24,"&gt;"&amp;AH14))+COUNTIF($AH$6:$AK$13,AH14)+1&lt;=$U$48,1,0)))</f>
        <v>0</v>
      </c>
      <c r="AS14" s="15" t="n">
        <f aca="false">IF(Y14=1,IF(ISNUMBER(F14),1,0),IF(AI14="",0,IF(IF($U$38=1,COUNTIF($AH$6:$AK$24,"&gt;"&amp;AI14),COUNTIF($AM$6:$AP$24,"&gt;"&amp;AI14))+COUNTIF($AH$6:$AK$13,AI14)+COUNTIF($AH14:AH14,AI14)+1&lt;=$U$48,1,0)))</f>
        <v>0</v>
      </c>
      <c r="AT14" s="15" t="n">
        <f aca="false">IF(Y14=1,IF(ISNUMBER(G14),1,0),IF(AJ14="",0,IF(IF($U$38=1,COUNTIF($AH$6:$AK$24,"&gt;"&amp;AJ14),COUNTIF($AM$6:$AP$24,"&gt;"&amp;AJ14))+COUNTIF($AH$6:$AK$13,AJ14)+COUNTIF($AH14:AI14,AJ14)+1&lt;=$U$48,1,0)))</f>
        <v>0</v>
      </c>
      <c r="AU14" s="15" t="n">
        <f aca="false">IF(Y14=1,IF(ISNUMBER(H14),1,0),IF(AK14="",0,IF(IF($U$38=1,COUNTIF($AH$6:$AK$24,"&gt;"&amp;AK14),COUNTIF($AM$6:$AP$24,"&gt;"&amp;AK14))+COUNTIF($AH$6:$AK$13,AK14)+COUNTIF($AH14:AJ14,AK14)+1&lt;=$U$48,1,0)))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8" t="s">
        <v>150</v>
      </c>
      <c r="C15" s="39"/>
      <c r="D15" s="40"/>
      <c r="E15" s="26"/>
      <c r="F15" s="26"/>
      <c r="G15" s="26"/>
      <c r="H15" s="26"/>
      <c r="I15" s="41"/>
      <c r="J15" s="41"/>
      <c r="L15" s="28" t="s">
        <v>151</v>
      </c>
      <c r="M15" s="30" t="str">
        <f aca="false">IF($U$4=0,"","+"&amp;$U$16)</f>
        <v/>
      </c>
      <c r="N15" s="31" t="s">
        <v>152</v>
      </c>
      <c r="T15" s="15" t="s">
        <v>153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IF(Y15=1,IF(ISNUMBER(E15),1,0),IF(AH15="",0,IF(IF($U$38=1,COUNTIF($AH$6:$AK$24,"&gt;"&amp;AH15),COUNTIF($AM$6:$AP$24,"&gt;"&amp;AH15))+COUNTIF($AH$6:$AK$14,AH15)+1&lt;=$U$48,1,0)))</f>
        <v>0</v>
      </c>
      <c r="AS15" s="15" t="n">
        <f aca="false">IF(Y15=1,IF(ISNUMBER(F15),1,0),IF(AI15="",0,IF(IF($U$38=1,COUNTIF($AH$6:$AK$24,"&gt;"&amp;AI15),COUNTIF($AM$6:$AP$24,"&gt;"&amp;AI15))+COUNTIF($AH$6:$AK$14,AI15)+COUNTIF($AH15:AH15,AI15)+1&lt;=$U$48,1,0)))</f>
        <v>0</v>
      </c>
      <c r="AT15" s="15" t="n">
        <f aca="false">IF(Y15=1,IF(ISNUMBER(G15),1,0),IF(AJ15="",0,IF(IF($U$38=1,COUNTIF($AH$6:$AK$24,"&gt;"&amp;AJ15),COUNTIF($AM$6:$AP$24,"&gt;"&amp;AJ15))+COUNTIF($AH$6:$AK$14,AJ15)+COUNTIF($AH15:AI15,AJ15)+1&lt;=$U$48,1,0)))</f>
        <v>0</v>
      </c>
      <c r="AU15" s="15" t="n">
        <f aca="false">IF(Y15=1,IF(ISNUMBER(H15),1,0),IF(AK15="",0,IF(IF($U$38=1,COUNTIF($AH$6:$AK$24,"&gt;"&amp;AK15),COUNTIF($AM$6:$AP$24,"&gt;"&amp;AK15))+COUNTIF($AH$6:$AK$14,AK15)+COUNTIF($AH15:AJ15,AK15)+1&lt;=$U$48,1,0)))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8" t="s">
        <v>154</v>
      </c>
      <c r="C16" s="39"/>
      <c r="D16" s="40"/>
      <c r="E16" s="26"/>
      <c r="F16" s="26"/>
      <c r="G16" s="26"/>
      <c r="H16" s="26"/>
      <c r="I16" s="41"/>
      <c r="J16" s="41"/>
      <c r="L16" s="28" t="s">
        <v>155</v>
      </c>
      <c r="M16" s="30" t="str">
        <f aca="false">IF($U$4=0,"","≈ +"&amp;FIXED(40/$U$46,2))</f>
        <v/>
      </c>
      <c r="N16" s="31" t="s">
        <v>156</v>
      </c>
      <c r="T16" s="15" t="s">
        <v>157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IF(Y16=1,IF(ISNUMBER(E16),1,0),IF(AH16="",0,IF(IF($U$38=1,COUNTIF($AH$6:$AK$24,"&gt;"&amp;AH16),COUNTIF($AM$6:$AP$24,"&gt;"&amp;AH16))+COUNTIF($AH$6:$AK$15,AH16)+1&lt;=$U$48,1,0)))</f>
        <v>0</v>
      </c>
      <c r="AS16" s="15" t="n">
        <f aca="false">IF(Y16=1,IF(ISNUMBER(F16),1,0),IF(AI16="",0,IF(IF($U$38=1,COUNTIF($AH$6:$AK$24,"&gt;"&amp;AI16),COUNTIF($AM$6:$AP$24,"&gt;"&amp;AI16))+COUNTIF($AH$6:$AK$15,AI16)+COUNTIF($AH16:AH16,AI16)+1&lt;=$U$48,1,0)))</f>
        <v>0</v>
      </c>
      <c r="AT16" s="15" t="n">
        <f aca="false">IF(Y16=1,IF(ISNUMBER(G16),1,0),IF(AJ16="",0,IF(IF($U$38=1,COUNTIF($AH$6:$AK$24,"&gt;"&amp;AJ16),COUNTIF($AM$6:$AP$24,"&gt;"&amp;AJ16))+COUNTIF($AH$6:$AK$15,AJ16)+COUNTIF($AH16:AI16,AJ16)+1&lt;=$U$48,1,0)))</f>
        <v>0</v>
      </c>
      <c r="AU16" s="15" t="n">
        <f aca="false">IF(Y16=1,IF(ISNUMBER(H16),1,0),IF(AK16="",0,IF(IF($U$38=1,COUNTIF($AH$6:$AK$24,"&gt;"&amp;AK16),COUNTIF($AM$6:$AP$24,"&gt;"&amp;AK16))+COUNTIF($AH$6:$AK$15,AK16)+COUNTIF($AH16:AJ16,AK16)+1&lt;=$U$48,1,0)))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8" t="s">
        <v>158</v>
      </c>
      <c r="C17" s="39"/>
      <c r="D17" s="40"/>
      <c r="E17" s="26"/>
      <c r="F17" s="26"/>
      <c r="G17" s="26"/>
      <c r="H17" s="26"/>
      <c r="I17" s="41"/>
      <c r="J17" s="41"/>
      <c r="T17" s="15" t="s">
        <v>159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IF(Y17=1,IF(ISNUMBER(E17),1,0),IF(AH17="",0,IF(IF($U$38=1,COUNTIF($AH$6:$AK$24,"&gt;"&amp;AH17),COUNTIF($AM$6:$AP$24,"&gt;"&amp;AH17))+COUNTIF($AH$6:$AK$16,AH17)+1&lt;=$U$48,1,0)))</f>
        <v>0</v>
      </c>
      <c r="AS17" s="15" t="n">
        <f aca="false">IF(Y17=1,IF(ISNUMBER(F17),1,0),IF(AI17="",0,IF(IF($U$38=1,COUNTIF($AH$6:$AK$24,"&gt;"&amp;AI17),COUNTIF($AM$6:$AP$24,"&gt;"&amp;AI17))+COUNTIF($AH$6:$AK$16,AI17)+COUNTIF($AH17:AH17,AI17)+1&lt;=$U$48,1,0)))</f>
        <v>0</v>
      </c>
      <c r="AT17" s="15" t="n">
        <f aca="false">IF(Y17=1,IF(ISNUMBER(G17),1,0),IF(AJ17="",0,IF(IF($U$38=1,COUNTIF($AH$6:$AK$24,"&gt;"&amp;AJ17),COUNTIF($AM$6:$AP$24,"&gt;"&amp;AJ17))+COUNTIF($AH$6:$AK$16,AJ17)+COUNTIF($AH17:AI17,AJ17)+1&lt;=$U$48,1,0)))</f>
        <v>0</v>
      </c>
      <c r="AU17" s="15" t="n">
        <f aca="false">IF(Y17=1,IF(ISNUMBER(H17),1,0),IF(AK17="",0,IF(IF($U$38=1,COUNTIF($AH$6:$AK$24,"&gt;"&amp;AK17),COUNTIF($AM$6:$AP$24,"&gt;"&amp;AK17))+COUNTIF($AH$6:$AK$16,AK17)+COUNTIF($AH17:AJ17,AK17)+1&lt;=$U$48,1,0)))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8" t="s">
        <v>160</v>
      </c>
      <c r="C18" s="39"/>
      <c r="D18" s="40"/>
      <c r="E18" s="26"/>
      <c r="F18" s="26"/>
      <c r="G18" s="26"/>
      <c r="H18" s="26"/>
      <c r="I18" s="41"/>
      <c r="J18" s="41"/>
      <c r="L18" s="42" t="s">
        <v>161</v>
      </c>
      <c r="M18" s="43" t="s">
        <v>112</v>
      </c>
      <c r="N18" s="6" t="s">
        <v>162</v>
      </c>
      <c r="T18" s="15" t="s">
        <v>163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IF(Y18=1,IF(ISNUMBER(E18),1,0),IF(AH18="",0,IF(IF($U$38=1,COUNTIF($AH$6:$AK$24,"&gt;"&amp;AH18),COUNTIF($AM$6:$AP$24,"&gt;"&amp;AH18))+COUNTIF($AH$6:$AK$17,AH18)+1&lt;=$U$48,1,0)))</f>
        <v>0</v>
      </c>
      <c r="AS18" s="15" t="n">
        <f aca="false">IF(Y18=1,IF(ISNUMBER(F18),1,0),IF(AI18="",0,IF(IF($U$38=1,COUNTIF($AH$6:$AK$24,"&gt;"&amp;AI18),COUNTIF($AM$6:$AP$24,"&gt;"&amp;AI18))+COUNTIF($AH$6:$AK$17,AI18)+COUNTIF($AH18:AH18,AI18)+1&lt;=$U$48,1,0)))</f>
        <v>0</v>
      </c>
      <c r="AT18" s="15" t="n">
        <f aca="false">IF(Y18=1,IF(ISNUMBER(G18),1,0),IF(AJ18="",0,IF(IF($U$38=1,COUNTIF($AH$6:$AK$24,"&gt;"&amp;AJ18),COUNTIF($AM$6:$AP$24,"&gt;"&amp;AJ18))+COUNTIF($AH$6:$AK$17,AJ18)+COUNTIF($AH18:AI18,AJ18)+1&lt;=$U$48,1,0)))</f>
        <v>0</v>
      </c>
      <c r="AU18" s="15" t="n">
        <f aca="false">IF(Y18=1,IF(ISNUMBER(H18),1,0),IF(AK18="",0,IF(IF($U$38=1,COUNTIF($AH$6:$AK$24,"&gt;"&amp;AK18),COUNTIF($AM$6:$AP$24,"&gt;"&amp;AK18))+COUNTIF($AH$6:$AK$17,AK18)+COUNTIF($AH18:AJ18,AK18)+1&lt;=$U$48,1,0)))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8" t="s">
        <v>164</v>
      </c>
      <c r="C19" s="39"/>
      <c r="D19" s="40"/>
      <c r="E19" s="26"/>
      <c r="F19" s="26"/>
      <c r="G19" s="26"/>
      <c r="H19" s="26"/>
      <c r="I19" s="41"/>
      <c r="J19" s="41"/>
      <c r="L19" s="44" t="s">
        <v>165</v>
      </c>
      <c r="M19" s="45" t="str">
        <f aca="false">IF($U$4=0,"",IF($U$50=1,"✓ erfüllt","✗ nicht erfüllt"))</f>
        <v/>
      </c>
      <c r="N19" s="38" t="str">
        <f aca="false">IF($U$4=0,"",$U$39&amp;" Punkte")</f>
        <v/>
      </c>
      <c r="T19" s="15" t="s">
        <v>166</v>
      </c>
      <c r="U19" s="15" t="n">
        <f aca="false">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IF(Y19=1,IF(ISNUMBER(E19),1,0),IF(AH19="",0,IF(IF($U$38=1,COUNTIF($AH$6:$AK$24,"&gt;"&amp;AH19),COUNTIF($AM$6:$AP$24,"&gt;"&amp;AH19))+COUNTIF($AH$6:$AK$18,AH19)+1&lt;=$U$48,1,0)))</f>
        <v>0</v>
      </c>
      <c r="AS19" s="15" t="n">
        <f aca="false">IF(Y19=1,IF(ISNUMBER(F19),1,0),IF(AI19="",0,IF(IF($U$38=1,COUNTIF($AH$6:$AK$24,"&gt;"&amp;AI19),COUNTIF($AM$6:$AP$24,"&gt;"&amp;AI19))+COUNTIF($AH$6:$AK$18,AI19)+COUNTIF($AH19:AH19,AI19)+1&lt;=$U$48,1,0)))</f>
        <v>0</v>
      </c>
      <c r="AT19" s="15" t="n">
        <f aca="false">IF(Y19=1,IF(ISNUMBER(G19),1,0),IF(AJ19="",0,IF(IF($U$38=1,COUNTIF($AH$6:$AK$24,"&gt;"&amp;AJ19),COUNTIF($AM$6:$AP$24,"&gt;"&amp;AJ19))+COUNTIF($AH$6:$AK$18,AJ19)+COUNTIF($AH19:AI19,AJ19)+1&lt;=$U$48,1,0)))</f>
        <v>0</v>
      </c>
      <c r="AU19" s="15" t="n">
        <f aca="false">IF(Y19=1,IF(ISNUMBER(H19),1,0),IF(AK19="",0,IF(IF($U$38=1,COUNTIF($AH$6:$AK$24,"&gt;"&amp;AK19),COUNTIF($AM$6:$AP$24,"&gt;"&amp;AK19))+COUNTIF($AH$6:$AK$18,AK19)+COUNTIF($AH19:AJ19,AK19)+1&lt;=$U$48,1,0)))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8" t="s">
        <v>167</v>
      </c>
      <c r="C20" s="39"/>
      <c r="D20" s="40"/>
      <c r="E20" s="26"/>
      <c r="F20" s="26"/>
      <c r="G20" s="26"/>
      <c r="H20" s="26"/>
      <c r="I20" s="41"/>
      <c r="J20" s="41"/>
      <c r="L20" s="44" t="s">
        <v>168</v>
      </c>
      <c r="M20" s="45" t="str">
        <f aca="false">IF($U$4=0,"",IF($U$52=1,"✓ erfüllt","✗ nicht erfüllt"))</f>
        <v/>
      </c>
      <c r="N20" s="38" t="str">
        <f aca="false">IF($U$4=0,"",$U$61&amp;" Unterkurse")</f>
        <v/>
      </c>
      <c r="T20" s="15" t="s">
        <v>169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IF(Y20=1,IF(ISNUMBER(E20),1,0),IF(AH20="",0,IF(IF($U$38=1,COUNTIF($AH$6:$AK$24,"&gt;"&amp;AH20),COUNTIF($AM$6:$AP$24,"&gt;"&amp;AH20))+COUNTIF($AH$6:$AK$19,AH20)+1&lt;=$U$48,1,0)))</f>
        <v>0</v>
      </c>
      <c r="AS20" s="15" t="n">
        <f aca="false">IF(Y20=1,IF(ISNUMBER(F20),1,0),IF(AI20="",0,IF(IF($U$38=1,COUNTIF($AH$6:$AK$24,"&gt;"&amp;AI20),COUNTIF($AM$6:$AP$24,"&gt;"&amp;AI20))+COUNTIF($AH$6:$AK$19,AI20)+COUNTIF($AH20:AH20,AI20)+1&lt;=$U$48,1,0)))</f>
        <v>0</v>
      </c>
      <c r="AT20" s="15" t="n">
        <f aca="false">IF(Y20=1,IF(ISNUMBER(G20),1,0),IF(AJ20="",0,IF(IF($U$38=1,COUNTIF($AH$6:$AK$24,"&gt;"&amp;AJ20),COUNTIF($AM$6:$AP$24,"&gt;"&amp;AJ20))+COUNTIF($AH$6:$AK$19,AJ20)+COUNTIF($AH20:AI20,AJ20)+1&lt;=$U$48,1,0)))</f>
        <v>0</v>
      </c>
      <c r="AU20" s="15" t="n">
        <f aca="false">IF(Y20=1,IF(ISNUMBER(H20),1,0),IF(AK20="",0,IF(IF($U$38=1,COUNTIF($AH$6:$AK$24,"&gt;"&amp;AK20),COUNTIF($AM$6:$AP$24,"&gt;"&amp;AK20))+COUNTIF($AH$6:$AK$19,AK20)+COUNTIF($AH20:AJ20,AK20)+1&lt;=$U$48,1,0)))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8" t="s">
        <v>170</v>
      </c>
      <c r="C21" s="39"/>
      <c r="D21" s="40"/>
      <c r="E21" s="26"/>
      <c r="F21" s="26"/>
      <c r="G21" s="26"/>
      <c r="H21" s="26"/>
      <c r="I21" s="41"/>
      <c r="J21" s="41"/>
      <c r="L21" s="44" t="s">
        <v>171</v>
      </c>
      <c r="M21" s="45" t="str">
        <f aca="false">IF($U$4=0,"",IF($U$53=1,"✓ erfüllt","✗ nicht erfüllt"))</f>
        <v/>
      </c>
      <c r="N21" s="38" t="str">
        <f aca="false">IF($U$4=0,"",$U$43&amp;" Unterkurse")</f>
        <v/>
      </c>
      <c r="T21" s="15" t="s">
        <v>172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IF(Y21=1,IF(ISNUMBER(E21),1,0),IF(AH21="",0,IF(IF($U$38=1,COUNTIF($AH$6:$AK$24,"&gt;"&amp;AH21),COUNTIF($AM$6:$AP$24,"&gt;"&amp;AH21))+COUNTIF($AH$6:$AK$20,AH21)+1&lt;=$U$48,1,0)))</f>
        <v>0</v>
      </c>
      <c r="AS21" s="15" t="n">
        <f aca="false">IF(Y21=1,IF(ISNUMBER(F21),1,0),IF(AI21="",0,IF(IF($U$38=1,COUNTIF($AH$6:$AK$24,"&gt;"&amp;AI21),COUNTIF($AM$6:$AP$24,"&gt;"&amp;AI21))+COUNTIF($AH$6:$AK$20,AI21)+COUNTIF($AH21:AH21,AI21)+1&lt;=$U$48,1,0)))</f>
        <v>0</v>
      </c>
      <c r="AT21" s="15" t="n">
        <f aca="false">IF(Y21=1,IF(ISNUMBER(G21),1,0),IF(AJ21="",0,IF(IF($U$38=1,COUNTIF($AH$6:$AK$24,"&gt;"&amp;AJ21),COUNTIF($AM$6:$AP$24,"&gt;"&amp;AJ21))+COUNTIF($AH$6:$AK$20,AJ21)+COUNTIF($AH21:AI21,AJ21)+1&lt;=$U$48,1,0)))</f>
        <v>0</v>
      </c>
      <c r="AU21" s="15" t="n">
        <f aca="false">IF(Y21=1,IF(ISNUMBER(H21),1,0),IF(AK21="",0,IF(IF($U$38=1,COUNTIF($AH$6:$AK$24,"&gt;"&amp;AK21),COUNTIF($AM$6:$AP$24,"&gt;"&amp;AK21))+COUNTIF($AH$6:$AK$20,AK21)+COUNTIF($AH21:AJ21,AK21)+1&lt;=$U$48,1,0)))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15" hidden="false" customHeight="false" outlineLevel="0" collapsed="false">
      <c r="B22" s="38" t="s">
        <v>173</v>
      </c>
      <c r="C22" s="39"/>
      <c r="D22" s="40"/>
      <c r="E22" s="26"/>
      <c r="F22" s="26"/>
      <c r="G22" s="26"/>
      <c r="H22" s="26"/>
      <c r="I22" s="41"/>
      <c r="J22" s="41"/>
      <c r="L22" s="44" t="s">
        <v>174</v>
      </c>
      <c r="M22" s="45" t="str">
        <f aca="false">IF($U$4=0,"",IF($U$56=1,"✓ erfüllt","✗ nicht erfüllt"))</f>
        <v/>
      </c>
      <c r="N22" s="38" t="str">
        <f aca="false">IF($U$4=0,"",$U$12&amp;" mit 0 Punkten")</f>
        <v/>
      </c>
      <c r="T22" s="15" t="s">
        <v>175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IF(Y22=1,IF(ISNUMBER(E22),1,0),IF(AH22="",0,IF(IF($U$38=1,COUNTIF($AH$6:$AK$24,"&gt;"&amp;AH22),COUNTIF($AM$6:$AP$24,"&gt;"&amp;AH22))+COUNTIF($AH$6:$AK$21,AH22)+1&lt;=$U$48,1,0)))</f>
        <v>0</v>
      </c>
      <c r="AS22" s="15" t="n">
        <f aca="false">IF(Y22=1,IF(ISNUMBER(F22),1,0),IF(AI22="",0,IF(IF($U$38=1,COUNTIF($AH$6:$AK$24,"&gt;"&amp;AI22),COUNTIF($AM$6:$AP$24,"&gt;"&amp;AI22))+COUNTIF($AH$6:$AK$21,AI22)+COUNTIF($AH22:AH22,AI22)+1&lt;=$U$48,1,0)))</f>
        <v>0</v>
      </c>
      <c r="AT22" s="15" t="n">
        <f aca="false">IF(Y22=1,IF(ISNUMBER(G22),1,0),IF(AJ22="",0,IF(IF($U$38=1,COUNTIF($AH$6:$AK$24,"&gt;"&amp;AJ22),COUNTIF($AM$6:$AP$24,"&gt;"&amp;AJ22))+COUNTIF($AH$6:$AK$21,AJ22)+COUNTIF($AH22:AI22,AJ22)+1&lt;=$U$48,1,0)))</f>
        <v>0</v>
      </c>
      <c r="AU22" s="15" t="n">
        <f aca="false">IF(Y22=1,IF(ISNUMBER(H22),1,0),IF(AK22="",0,IF(IF($U$38=1,COUNTIF($AH$6:$AK$24,"&gt;"&amp;AK22),COUNTIF($AM$6:$AP$24,"&gt;"&amp;AK22))+COUNTIF($AH$6:$AK$21,AK22)+COUNTIF($AH22:AJ22,AK22)+1&lt;=$U$48,1,0)))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40</v>
      </c>
      <c r="CF22" s="15" t="s">
        <v>41</v>
      </c>
      <c r="CG22" s="15" t="s">
        <v>42</v>
      </c>
      <c r="CH22" s="15" t="s">
        <v>43</v>
      </c>
      <c r="CI22" s="15" t="s">
        <v>44</v>
      </c>
      <c r="CJ22" s="15" t="s">
        <v>45</v>
      </c>
      <c r="CK22" s="15" t="s">
        <v>46</v>
      </c>
      <c r="CL22" s="15" t="s">
        <v>47</v>
      </c>
      <c r="CM22" s="15" t="s">
        <v>48</v>
      </c>
      <c r="CN22" s="15" t="s">
        <v>49</v>
      </c>
      <c r="CO22" s="15" t="s">
        <v>50</v>
      </c>
      <c r="CP22" s="15" t="s">
        <v>51</v>
      </c>
      <c r="CQ22" s="15" t="s">
        <v>52</v>
      </c>
      <c r="CR22" s="15" t="s">
        <v>53</v>
      </c>
      <c r="CS22" s="15" t="s">
        <v>54</v>
      </c>
      <c r="CT22" s="15" t="s">
        <v>55</v>
      </c>
      <c r="CU22" s="15" t="s">
        <v>56</v>
      </c>
      <c r="CV22" s="15" t="s">
        <v>57</v>
      </c>
      <c r="CW22" s="15" t="s">
        <v>58</v>
      </c>
      <c r="CX22" s="15" t="s">
        <v>59</v>
      </c>
      <c r="CY22" s="15" t="s">
        <v>60</v>
      </c>
      <c r="CZ22" s="15" t="s">
        <v>61</v>
      </c>
      <c r="DA22" s="15" t="s">
        <v>62</v>
      </c>
      <c r="DB22" s="15" t="s">
        <v>63</v>
      </c>
      <c r="DC22" s="15" t="s">
        <v>64</v>
      </c>
      <c r="DD22" s="15" t="s">
        <v>65</v>
      </c>
      <c r="DE22" s="15" t="s">
        <v>66</v>
      </c>
      <c r="DF22" s="15" t="s">
        <v>67</v>
      </c>
      <c r="DG22" s="15" t="s">
        <v>68</v>
      </c>
      <c r="DH22" s="15" t="s">
        <v>69</v>
      </c>
    </row>
    <row r="23" customFormat="false" ht="22.35" hidden="false" customHeight="false" outlineLevel="0" collapsed="false">
      <c r="B23" s="38" t="s">
        <v>176</v>
      </c>
      <c r="C23" s="39"/>
      <c r="D23" s="40"/>
      <c r="E23" s="26"/>
      <c r="F23" s="26"/>
      <c r="G23" s="26"/>
      <c r="H23" s="26"/>
      <c r="I23" s="41"/>
      <c r="J23" s="41"/>
      <c r="L23" s="44" t="s">
        <v>177</v>
      </c>
      <c r="M23" s="45" t="str">
        <f aca="false">IF($U$4=0,"",IF($U$59=1,"✓ erfüllt","✗ nicht erfüllt"))</f>
        <v/>
      </c>
      <c r="N23" s="38"/>
      <c r="T23" s="15" t="s">
        <v>178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IF(Y23=1,IF(ISNUMBER(E23),1,0),IF(AH23="",0,IF(IF($U$38=1,COUNTIF($AH$6:$AK$24,"&gt;"&amp;AH23),COUNTIF($AM$6:$AP$24,"&gt;"&amp;AH23))+COUNTIF($AH$6:$AK$22,AH23)+1&lt;=$U$48,1,0)))</f>
        <v>0</v>
      </c>
      <c r="AS23" s="15" t="n">
        <f aca="false">IF(Y23=1,IF(ISNUMBER(F23),1,0),IF(AI23="",0,IF(IF($U$38=1,COUNTIF($AH$6:$AK$24,"&gt;"&amp;AI23),COUNTIF($AM$6:$AP$24,"&gt;"&amp;AI23))+COUNTIF($AH$6:$AK$22,AI23)+COUNTIF($AH23:AH23,AI23)+1&lt;=$U$48,1,0)))</f>
        <v>0</v>
      </c>
      <c r="AT23" s="15" t="n">
        <f aca="false">IF(Y23=1,IF(ISNUMBER(G23),1,0),IF(AJ23="",0,IF(IF($U$38=1,COUNTIF($AH$6:$AK$24,"&gt;"&amp;AJ23),COUNTIF($AM$6:$AP$24,"&gt;"&amp;AJ23))+COUNTIF($AH$6:$AK$22,AJ23)+COUNTIF($AH23:AI23,AJ23)+1&lt;=$U$48,1,0)))</f>
        <v>0</v>
      </c>
      <c r="AU23" s="15" t="n">
        <f aca="false">IF(Y23=1,IF(ISNUMBER(H23),1,0),IF(AK23="",0,IF(IF($U$38=1,COUNTIF($AH$6:$AK$24,"&gt;"&amp;AK23),COUNTIF($AM$6:$AP$24,"&gt;"&amp;AK23))+COUNTIF($AH$6:$AK$22,AK23)+COUNTIF($AH23:AJ23,AK23)+1&lt;=$U$48,1,0)))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IF($M$3&amp;""="2028",36,38)</f>
        <v>38</v>
      </c>
      <c r="CF23" s="15" t="n">
        <f aca="false">CE23-$V$5-$V$6-0</f>
        <v>22</v>
      </c>
      <c r="CG23" s="15" t="n">
        <f aca="false">MAX(0,CF23)</f>
        <v>22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22</v>
      </c>
      <c r="CK23" s="15" t="n">
        <f aca="false">$V$5+CH23+CJ23</f>
        <v>38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322</v>
      </c>
      <c r="CP23" s="15" t="n">
        <f aca="false">CM23+CH23+CJ23</f>
        <v>46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99</f>
        <v>99</v>
      </c>
      <c r="CT23" s="15" t="n">
        <f aca="false">$V$10+MAX(0,CH23-$V$8)+CJ23*IF($U$2&lt;5,1,0)</f>
        <v>0</v>
      </c>
      <c r="CU23" s="15" t="n">
        <f aca="false">$V$11+CN23+CJ23*$U$2</f>
        <v>210</v>
      </c>
      <c r="CV23" s="15" t="n">
        <f aca="false">IF(CQ23&gt;=200,1,0)</f>
        <v>1</v>
      </c>
      <c r="CW23" s="15" t="n">
        <f aca="false">1</f>
        <v>1</v>
      </c>
      <c r="CX23" s="15" t="n">
        <f aca="false">IF($V$9&lt;=3,1,0)</f>
        <v>1</v>
      </c>
      <c r="CY23" s="15" t="n">
        <f aca="false">IF(CT23&lt;=4,1,0)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1028062</v>
      </c>
    </row>
    <row r="24" customFormat="false" ht="15" hidden="false" customHeight="false" outlineLevel="0" collapsed="false">
      <c r="B24" s="38" t="s">
        <v>179</v>
      </c>
      <c r="C24" s="39"/>
      <c r="D24" s="40"/>
      <c r="E24" s="26"/>
      <c r="F24" s="26"/>
      <c r="G24" s="26"/>
      <c r="H24" s="26"/>
      <c r="I24" s="41"/>
      <c r="J24" s="41"/>
      <c r="L24" s="44" t="s">
        <v>180</v>
      </c>
      <c r="M24" s="45" t="str">
        <f aca="false">IF($U$4=0,"",IF($U$64=1,"✓ erfüllt","✗ nicht erfüllt"))</f>
        <v/>
      </c>
      <c r="N24" s="38" t="str">
        <f aca="false">IF($U$4=0,"",$U$62&amp;" Punkte")</f>
        <v/>
      </c>
      <c r="T24" s="15" t="s">
        <v>181</v>
      </c>
      <c r="U24" s="15" t="n">
        <f aca="false">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IF(Y24=1,IF(ISNUMBER(E24),1,0),IF(AH24="",0,IF(IF($U$38=1,COUNTIF($AH$6:$AK$24,"&gt;"&amp;AH24),COUNTIF($AM$6:$AP$24,"&gt;"&amp;AH24))+COUNTIF($AH$6:$AK$23,AH24)+1&lt;=$U$48,1,0)))</f>
        <v>0</v>
      </c>
      <c r="AS24" s="15" t="n">
        <f aca="false">IF(Y24=1,IF(ISNUMBER(F24),1,0),IF(AI24="",0,IF(IF($U$38=1,COUNTIF($AH$6:$AK$24,"&gt;"&amp;AI24),COUNTIF($AM$6:$AP$24,"&gt;"&amp;AI24))+COUNTIF($AH$6:$AK$23,AI24)+COUNTIF($AH24:AH24,AI24)+1&lt;=$U$48,1,0)))</f>
        <v>0</v>
      </c>
      <c r="AT24" s="15" t="n">
        <f aca="false">IF(Y24=1,IF(ISNUMBER(G24),1,0),IF(AJ24="",0,IF(IF($U$38=1,COUNTIF($AH$6:$AK$24,"&gt;"&amp;AJ24),COUNTIF($AM$6:$AP$24,"&gt;"&amp;AJ24))+COUNTIF($AH$6:$AK$23,AJ24)+COUNTIF($AH24:AI24,AJ24)+1&lt;=$U$48,1,0)))</f>
        <v>0</v>
      </c>
      <c r="AU24" s="15" t="n">
        <f aca="false">IF(Y24=1,IF(ISNUMBER(H24),1,0),IF(AK24="",0,IF(IF($U$38=1,COUNTIF($AH$6:$AK$24,"&gt;"&amp;AK24),COUNTIF($AM$6:$AP$24,"&gt;"&amp;AK24))+COUNTIF($AH$6:$AK$23,AK24)+COUNTIF($AH24:AJ24,AK24)+1&lt;=$U$48,1,0)))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</row>
    <row r="25" customFormat="false" ht="15" hidden="false" customHeight="false" outlineLevel="0" collapsed="false">
      <c r="L25" s="44" t="str">
        <f aca="false">"In mindestens "&amp;$U$27&amp;" Prüfungen mindestens 5 Punkte (einfach)"</f>
        <v>In mindestens 3 Prüfungen mindestens 5 Punkte (einfach)</v>
      </c>
      <c r="M25" s="45" t="str">
        <f aca="false">IF($U$4=0,"",IF($U$65=1,"✓ erfüllt","✗ nicht erfüllt"))</f>
        <v/>
      </c>
      <c r="N25" s="38" t="str">
        <f aca="false">IF($U$4=0,"",$U$63&amp;" Prüfungen")</f>
        <v/>
      </c>
      <c r="T25" s="15" t="s">
        <v>182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</row>
    <row r="26" customFormat="false" ht="30" hidden="false" customHeight="true" outlineLevel="0" collapsed="false">
      <c r="B26" s="23" t="s">
        <v>183</v>
      </c>
      <c r="C26" s="39"/>
      <c r="I26" s="27"/>
      <c r="J26" s="46" t="s">
        <v>184</v>
      </c>
      <c r="L26" s="44" t="s">
        <v>185</v>
      </c>
      <c r="M26" s="45" t="str">
        <f aca="false">IF($U$4=0,"",IF($U$66=1,"✓ erfüllt","✗ nicht erfüllt"))</f>
        <v/>
      </c>
      <c r="N26" s="38"/>
      <c r="T26" s="15" t="s">
        <v>186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187</v>
      </c>
      <c r="M27" s="45" t="str">
        <f aca="false">IF($U$4=0,"",IF($U$69=1,"✓ erfüllt","✗ nicht erfüllt"))</f>
        <v/>
      </c>
      <c r="N27" s="38" t="str">
        <f aca="false">IF($U$4=0,"",$U$68&amp;" Punkte")</f>
        <v/>
      </c>
      <c r="T27" s="15" t="s">
        <v>188</v>
      </c>
      <c r="U27" s="15" t="n">
        <f aca="false">3</f>
        <v>3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189</v>
      </c>
      <c r="T28" s="15" t="s">
        <v>190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tr">
        <f aca="false">IF($M$3&amp;""="2028","• 8 Leistungskurse (doppelt) + 28 Grundkurse (einfach).","• 8 Leistungskurse (doppelt) + 30 Grundkurse (einfach).")</f>
        <v>• 8 Leistungskurse (doppelt) + 30 Grundkurse (einfach).</v>
      </c>
      <c r="L29" s="17" t="s">
        <v>191</v>
      </c>
      <c r="T29" s="15" t="s">
        <v>192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tr">
        <f aca="false">IF($M$3&amp;""="2028","• Block I = Punktsumme / 44 × 40, kaufmännisch gerundet.","• Block I = Punktsumme / 46 × 40, kaufmännisch gerundet.")</f>
        <v>• Block I = Punktsumme / 46 × 40, kaufmännisch gerundet.</v>
      </c>
      <c r="L30" s="8" t="s">
        <v>193</v>
      </c>
      <c r="T30" s="15" t="s">
        <v>194</v>
      </c>
      <c r="U30" s="15" t="n">
        <f aca="false">IF(AND($U$18&gt;=$U$27,$U$19&gt;=0),1,0)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195</v>
      </c>
      <c r="L31" s="47" t="s">
        <v>196</v>
      </c>
      <c r="T31" s="15" t="s">
        <v>197</v>
      </c>
      <c r="U31" s="15" t="n">
        <f aca="false">IF($U$20=0,1,0)</f>
        <v>1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198</v>
      </c>
      <c r="L32" s="48" t="s">
        <v>199</v>
      </c>
      <c r="T32" s="15" t="s">
        <v>200</v>
      </c>
      <c r="U32" s="15" t="n">
        <f aca="false">$U$29*$U$30*$U$31</f>
        <v>0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201</v>
      </c>
      <c r="L33" s="49" t="s">
        <v>202</v>
      </c>
      <c r="T33" s="15" t="s">
        <v>203</v>
      </c>
      <c r="U33" s="15" t="n">
        <f aca="false">IF($U$22&gt;=100,1,0)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T34" s="15" t="s">
        <v>204</v>
      </c>
      <c r="U34" s="15" t="n">
        <f aca="false">IF(AND($U$23&gt;=$U$27,$U$24&gt;=0),1,0)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50" t="s">
        <v>205</v>
      </c>
      <c r="L35" s="50" t="s">
        <v>206</v>
      </c>
      <c r="T35" s="15" t="s">
        <v>207</v>
      </c>
      <c r="U35" s="15" t="n">
        <f aca="false">IF($U$25=0,1,0)</f>
        <v>1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51" t="s">
        <v>208</v>
      </c>
      <c r="L36" s="50" t="s">
        <v>209</v>
      </c>
      <c r="T36" s="15" t="s">
        <v>210</v>
      </c>
      <c r="U36" s="15" t="n">
        <f aca="false">$U$33*$U$34*$U$35</f>
        <v>1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211</v>
      </c>
      <c r="U37" s="15" t="n">
        <f aca="false">INDEX($DG$3:$DG$3,$U$13)+$U$28</f>
        <v>42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2" t="s">
        <v>212</v>
      </c>
      <c r="T38" s="15" t="s">
        <v>213</v>
      </c>
      <c r="U38" s="15" t="n">
        <f aca="false">IF($U$37=0,1,0)</f>
        <v>0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3" t="s">
        <v>214</v>
      </c>
      <c r="T39" s="15" t="s">
        <v>215</v>
      </c>
      <c r="U39" s="15" t="n">
        <f aca="false">IF($U$38=1,INDEX($CQ$3:$CQ$3,$U$13),INDEX($CQ$23:$CQ$23,$U$14))</f>
        <v>280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216</v>
      </c>
      <c r="U40" s="15" t="n">
        <f aca="false">IF($U$38=1,INDEX($CK$3:$CK$3,$U$13),INDEX($CK$23:$CK$23,$U$14))</f>
        <v>38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217</v>
      </c>
      <c r="U41" s="15" t="n">
        <f aca="false">IF($U$38=1,INDEX($CR$3:$CR$3,$U$13),INDEX($CR$23:$CR$23,$U$14))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218</v>
      </c>
      <c r="U42" s="15" t="n">
        <f aca="false">IF($U$38=1,INDEX($CS$3:$CS$3,$U$13),INDEX($CS$23:$CS$23,$U$14))</f>
        <v>99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219</v>
      </c>
      <c r="U43" s="15" t="n">
        <f aca="false">IF($U$38=1,INDEX($CT$3:$CT$3,$U$13),INDEX($CT$23:$CT$23,$U$14))</f>
        <v>0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220</v>
      </c>
      <c r="U44" s="15" t="n">
        <f aca="false">IF($U$38=1,INDEX($CL$3:$CL$3,$U$13),INDEX($CL$23:$CL$23,$U$14))</f>
        <v>112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221</v>
      </c>
      <c r="U45" s="15" t="n">
        <f aca="false">IF($U$38=1,INDEX($CU$3:$CU$3,$U$13),INDEX($CU$23:$CU$23,$U$14))</f>
        <v>210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222</v>
      </c>
      <c r="U46" s="15" t="n">
        <f aca="false">IF($U$38=1,INDEX($CP$3:$CP$3,$U$13),INDEX($CP$23:$CP$23,$U$14))</f>
        <v>46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223</v>
      </c>
      <c r="U47" s="15" t="n">
        <f aca="false">IF($U$38=1,INDEX($CO$3:$CO$3,$U$13),INDEX($CO$23:$CO$23,$U$14))</f>
        <v>322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224</v>
      </c>
      <c r="U48" s="15" t="n">
        <f aca="false">IF($U$38=1,INDEX($CH$3:$CH$3,$U$13),INDEX($CH$23:$CH$23,$U$14))</f>
        <v>0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225</v>
      </c>
      <c r="U49" s="15" t="n">
        <f aca="false">IF($U$38=1,INDEX($DF$3:$DF$3,$U$13),INDEX($DF$23:$DF$23,$U$14))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226</v>
      </c>
      <c r="U50" s="15" t="n">
        <f aca="false">IF($U$38=1,INDEX($CV$3:$CV$3,$U$13),INDEX($CV$23:$CV$23,$U$14))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227</v>
      </c>
      <c r="U51" s="15" t="n">
        <f aca="false">IF($U$38=1,INDEX($CW$3:$CW$3,$U$13),INDEX($CW$23:$CW$23,$U$14))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228</v>
      </c>
      <c r="U52" s="15" t="n">
        <f aca="false">IF($U$38=1,INDEX($CX$3:$CX$3,$U$13),INDEX($CX$23:$CX$23,$U$14))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229</v>
      </c>
      <c r="U53" s="15" t="n">
        <f aca="false">IF($U$38=1,INDEX($CY$3:$CY$3,$U$13),INDEX($CY$23:$CY$23,$U$14))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230</v>
      </c>
      <c r="U54" s="15" t="n">
        <f aca="false">IF($U$38=1,INDEX($CZ$3:$CZ$3,$U$13),INDEX($CZ$23:$CZ$23,$U$14))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231</v>
      </c>
      <c r="U55" s="15" t="n">
        <f aca="false">IF($U$38=1,INDEX($DA$3:$DA$3,$U$13),INDEX($DA$23:$DA$23,$U$14))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232</v>
      </c>
      <c r="U56" s="15" t="n">
        <f aca="false">IF($U$38=1,INDEX($DB$3:$DB$3,$U$13),INDEX($DB$23:$DB$23,$U$14))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233</v>
      </c>
      <c r="U57" s="15" t="n">
        <f aca="false">IF($U$38=1,INDEX($DC$3:$DC$3,$U$13),INDEX($DC$23:$DC$23,$U$14))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234</v>
      </c>
      <c r="U58" s="15" t="n">
        <f aca="false">IF($U$38=1,INDEX($DD$3:$DD$3,$U$13),INDEX($DD$23:$DD$23,$U$14))</f>
        <v>1</v>
      </c>
    </row>
    <row r="59" customFormat="false" ht="15" hidden="false" customHeight="false" outlineLevel="0" collapsed="false">
      <c r="T59" s="15" t="s">
        <v>235</v>
      </c>
      <c r="U59" s="15" t="n">
        <f aca="false">IF($U$38=1,INDEX($DE$3:$DE$3,$U$13),INDEX($DE$23:$DE$23,$U$14))</f>
        <v>1</v>
      </c>
    </row>
    <row r="60" customFormat="false" ht="15" hidden="false" customHeight="false" outlineLevel="0" collapsed="false">
      <c r="T60" s="15" t="s">
        <v>236</v>
      </c>
      <c r="U60" s="15" t="n">
        <f aca="false">IF($U$38=1,$U$13,$U$14)</f>
        <v>1</v>
      </c>
    </row>
    <row r="61" customFormat="false" ht="15" hidden="false" customHeight="false" outlineLevel="0" collapsed="false">
      <c r="T61" s="15" t="s">
        <v>237</v>
      </c>
      <c r="U61" s="15" t="n">
        <f aca="false">IF($U$38=1,$U$9,$V$9)</f>
        <v>0</v>
      </c>
    </row>
    <row r="62" customFormat="false" ht="15" hidden="false" customHeight="false" outlineLevel="0" collapsed="false">
      <c r="T62" s="15" t="s">
        <v>238</v>
      </c>
      <c r="U62" s="15" t="n">
        <f aca="false">IF($U$38=1,$U$17,$U$22)</f>
        <v>140</v>
      </c>
    </row>
    <row r="63" customFormat="false" ht="15" hidden="false" customHeight="false" outlineLevel="0" collapsed="false">
      <c r="T63" s="15" t="s">
        <v>239</v>
      </c>
      <c r="U63" s="15" t="n">
        <f aca="false">IF($U$38=1,$U$18,$U$23)</f>
        <v>4</v>
      </c>
    </row>
    <row r="64" customFormat="false" ht="15" hidden="false" customHeight="false" outlineLevel="0" collapsed="false">
      <c r="T64" s="15" t="s">
        <v>240</v>
      </c>
      <c r="U64" s="15" t="n">
        <f aca="false">IF($U$38=1,$U$29,$U$33)</f>
        <v>1</v>
      </c>
    </row>
    <row r="65" customFormat="false" ht="15" hidden="false" customHeight="false" outlineLevel="0" collapsed="false">
      <c r="T65" s="15" t="s">
        <v>241</v>
      </c>
      <c r="U65" s="15" t="n">
        <f aca="false">IF($U$38=1,$U$30,$U$34)</f>
        <v>1</v>
      </c>
    </row>
    <row r="66" customFormat="false" ht="15" hidden="false" customHeight="false" outlineLevel="0" collapsed="false">
      <c r="T66" s="15" t="s">
        <v>242</v>
      </c>
      <c r="U66" s="15" t="n">
        <f aca="false">IF($U$38=1,$U$31,$U$35)</f>
        <v>1</v>
      </c>
    </row>
    <row r="67" customFormat="false" ht="15" hidden="false" customHeight="false" outlineLevel="0" collapsed="false">
      <c r="T67" s="15" t="s">
        <v>243</v>
      </c>
      <c r="U67" s="15" t="n">
        <f aca="false">IF($U$38=1,$U$32,$U$36)</f>
        <v>1</v>
      </c>
    </row>
    <row r="68" customFormat="false" ht="15" hidden="false" customHeight="false" outlineLevel="0" collapsed="false">
      <c r="T68" s="15" t="s">
        <v>152</v>
      </c>
      <c r="U68" s="15" t="n">
        <f aca="false">$U$39+$U$62</f>
        <v>420</v>
      </c>
    </row>
    <row r="69" customFormat="false" ht="15" hidden="false" customHeight="false" outlineLevel="0" collapsed="false">
      <c r="T69" s="15" t="s">
        <v>244</v>
      </c>
      <c r="U69" s="15" t="n">
        <f aca="false">IF($U$68&gt;=300,1,0)</f>
        <v>1</v>
      </c>
    </row>
    <row r="70" customFormat="false" ht="15" hidden="false" customHeight="false" outlineLevel="0" collapsed="false">
      <c r="T70" s="0" t="s">
        <v>245</v>
      </c>
      <c r="U70" s="0" t="n">
        <f aca="false">IF($U$49*$U$67*$U$69=1,1,0)</f>
        <v>1</v>
      </c>
    </row>
    <row r="71" customFormat="false" ht="15" hidden="false" customHeight="false" outlineLevel="0" collapsed="false">
      <c r="T71" s="0" t="s">
        <v>246</v>
      </c>
      <c r="U71" s="0" t="n">
        <f aca="false">IF($U$68&lt;300,"",MAX(10,MIN(40,INT((1020-$U$68)/18))))</f>
        <v>33</v>
      </c>
    </row>
    <row r="72" customFormat="false" ht="15" hidden="false" customHeight="false" outlineLevel="0" collapsed="false">
      <c r="T72" s="0" t="s">
        <v>247</v>
      </c>
      <c r="U72" s="0" t="n">
        <f aca="false">IF($U$71="",MAX(0,300-$U$68),IF($U$71&gt;10,1021-18*$U$71-$U$68,""))</f>
        <v>7</v>
      </c>
    </row>
    <row r="73" customFormat="false" ht="15" hidden="false" customHeight="false" outlineLevel="0" collapsed="false">
      <c r="T73" s="0" t="s">
        <v>248</v>
      </c>
      <c r="U73" s="0" t="n">
        <f aca="false">IF($U$71="","",$U$68-IF($U$71&gt;=40,300,1020-18*($U$71+1)+1))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7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3">
    <dataValidation allowBlank="false" error="Bitte 2027 oder 2028 wählen." errorStyle="stop" errorTitle="Abiturjahrgang" operator="between" showDropDown="false" showErrorMessage="false" showInputMessage="false" sqref="M3" type="list">
      <formula1>"2027,2028"</formula1>
      <formula2>0</formula2>
    </dataValidation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bravors.brandenburg.de/verordnungen/gostv/9"/>
    <hyperlink ref="B38" r:id="rId3" display="Online-Rechner Brandenburg mit Statistik und PDF-Download: https://www.abi-rechner.com/bundeslander/brandenburg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Brandenburg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4" t="s">
        <v>249</v>
      </c>
    </row>
    <row r="2" customFormat="false" ht="15" hidden="false" customHeight="false" outlineLevel="0" collapsed="false">
      <c r="B2" s="2" t="s">
        <v>250</v>
      </c>
    </row>
    <row r="4" customFormat="false" ht="15" hidden="false" customHeight="false" outlineLevel="0" collapsed="false">
      <c r="B4" s="43" t="s">
        <v>129</v>
      </c>
      <c r="C4" s="43" t="s">
        <v>251</v>
      </c>
      <c r="D4" s="43" t="s">
        <v>252</v>
      </c>
      <c r="F4" s="43" t="s">
        <v>253</v>
      </c>
      <c r="G4" s="43" t="s">
        <v>254</v>
      </c>
      <c r="H4" s="6" t="s">
        <v>255</v>
      </c>
    </row>
    <row r="5" customFormat="false" ht="15" hidden="false" customHeight="false" outlineLevel="0" collapsed="false">
      <c r="B5" s="55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6" t="n">
        <v>15</v>
      </c>
      <c r="G5" s="10" t="s">
        <v>256</v>
      </c>
      <c r="H5" s="11" t="s">
        <v>257</v>
      </c>
    </row>
    <row r="6" customFormat="false" ht="15" hidden="false" customHeight="false" outlineLevel="0" collapsed="false">
      <c r="B6" s="55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6" t="n">
        <v>14</v>
      </c>
      <c r="G6" s="10" t="s">
        <v>258</v>
      </c>
      <c r="H6" s="11" t="s">
        <v>257</v>
      </c>
    </row>
    <row r="7" customFormat="false" ht="15" hidden="false" customHeight="false" outlineLevel="0" collapsed="false">
      <c r="B7" s="55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6" t="n">
        <v>13</v>
      </c>
      <c r="G7" s="10" t="s">
        <v>259</v>
      </c>
      <c r="H7" s="11" t="s">
        <v>257</v>
      </c>
    </row>
    <row r="8" customFormat="false" ht="15" hidden="false" customHeight="false" outlineLevel="0" collapsed="false">
      <c r="B8" s="55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6" t="n">
        <v>12</v>
      </c>
      <c r="G8" s="10" t="s">
        <v>260</v>
      </c>
      <c r="H8" s="11" t="s">
        <v>261</v>
      </c>
    </row>
    <row r="9" customFormat="false" ht="15" hidden="false" customHeight="false" outlineLevel="0" collapsed="false">
      <c r="B9" s="55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6" t="n">
        <v>11</v>
      </c>
      <c r="G9" s="10" t="s">
        <v>262</v>
      </c>
      <c r="H9" s="11" t="s">
        <v>261</v>
      </c>
    </row>
    <row r="10" customFormat="false" ht="15" hidden="false" customHeight="false" outlineLevel="0" collapsed="false">
      <c r="B10" s="55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6" t="n">
        <v>10</v>
      </c>
      <c r="G10" s="10" t="s">
        <v>263</v>
      </c>
      <c r="H10" s="11" t="s">
        <v>261</v>
      </c>
    </row>
    <row r="11" customFormat="false" ht="15" hidden="false" customHeight="false" outlineLevel="0" collapsed="false">
      <c r="B11" s="55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6" t="n">
        <v>9</v>
      </c>
      <c r="G11" s="10" t="s">
        <v>264</v>
      </c>
      <c r="H11" s="11" t="s">
        <v>265</v>
      </c>
    </row>
    <row r="12" customFormat="false" ht="15" hidden="false" customHeight="false" outlineLevel="0" collapsed="false">
      <c r="B12" s="55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6" t="n">
        <v>8</v>
      </c>
      <c r="G12" s="10" t="s">
        <v>266</v>
      </c>
      <c r="H12" s="11" t="s">
        <v>265</v>
      </c>
    </row>
    <row r="13" customFormat="false" ht="15" hidden="false" customHeight="false" outlineLevel="0" collapsed="false">
      <c r="B13" s="55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6" t="n">
        <v>7</v>
      </c>
      <c r="G13" s="10" t="s">
        <v>267</v>
      </c>
      <c r="H13" s="11" t="s">
        <v>265</v>
      </c>
    </row>
    <row r="14" customFormat="false" ht="15" hidden="false" customHeight="false" outlineLevel="0" collapsed="false">
      <c r="B14" s="55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6" t="n">
        <v>6</v>
      </c>
      <c r="G14" s="10" t="s">
        <v>268</v>
      </c>
      <c r="H14" s="11" t="s">
        <v>269</v>
      </c>
    </row>
    <row r="15" customFormat="false" ht="15" hidden="false" customHeight="false" outlineLevel="0" collapsed="false">
      <c r="B15" s="55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6" t="n">
        <v>5</v>
      </c>
      <c r="G15" s="10" t="s">
        <v>270</v>
      </c>
      <c r="H15" s="11" t="s">
        <v>269</v>
      </c>
    </row>
    <row r="16" customFormat="false" ht="15" hidden="false" customHeight="false" outlineLevel="0" collapsed="false">
      <c r="B16" s="55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6" t="n">
        <v>4</v>
      </c>
      <c r="G16" s="10" t="s">
        <v>271</v>
      </c>
      <c r="H16" s="11" t="s">
        <v>269</v>
      </c>
    </row>
    <row r="17" customFormat="false" ht="15" hidden="false" customHeight="false" outlineLevel="0" collapsed="false">
      <c r="B17" s="55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6" t="n">
        <v>3</v>
      </c>
      <c r="G17" s="10" t="s">
        <v>272</v>
      </c>
      <c r="H17" s="11" t="s">
        <v>273</v>
      </c>
    </row>
    <row r="18" customFormat="false" ht="15" hidden="false" customHeight="false" outlineLevel="0" collapsed="false">
      <c r="B18" s="55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6" t="n">
        <v>2</v>
      </c>
      <c r="G18" s="10" t="s">
        <v>274</v>
      </c>
      <c r="H18" s="11" t="s">
        <v>273</v>
      </c>
    </row>
    <row r="19" customFormat="false" ht="15" hidden="false" customHeight="false" outlineLevel="0" collapsed="false">
      <c r="B19" s="55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6" t="n">
        <v>1</v>
      </c>
      <c r="G19" s="10" t="s">
        <v>275</v>
      </c>
      <c r="H19" s="11" t="s">
        <v>273</v>
      </c>
    </row>
    <row r="20" customFormat="false" ht="15" hidden="false" customHeight="false" outlineLevel="0" collapsed="false">
      <c r="B20" s="55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6" t="n">
        <v>0</v>
      </c>
      <c r="G20" s="10" t="s">
        <v>276</v>
      </c>
      <c r="H20" s="11" t="s">
        <v>277</v>
      </c>
    </row>
    <row r="21" customFormat="false" ht="15" hidden="false" customHeight="false" outlineLevel="0" collapsed="false">
      <c r="B21" s="55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5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278</v>
      </c>
    </row>
    <row r="23" customFormat="false" ht="15" hidden="false" customHeight="false" outlineLevel="0" collapsed="false">
      <c r="B23" s="55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5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5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5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5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5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5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5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5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5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5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5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5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279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