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Hamburg" sheetId="2" state="visible" r:id="rId4"/>
    <sheet name="Punktetabelle" sheetId="3" state="visible" r:id="rId5"/>
  </sheets>
  <definedNames>
    <definedName function="false" hidden="false" localSheetId="1" name="_xlnm.Print_Area" vbProcedure="false">Hamburg!$A$1:$N$40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0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<sst xmlns="http://schemas.openxmlformats.org/spreadsheetml/2006/main" count="332" uniqueCount="274">
  <si>
    <t xml:space="preserve">Abi-Rechner Hamburg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</si>
  <si>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</si>
  <si>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</si>
  <si>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</si>
  <si>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</si>
  <si>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</si>
  <si>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</si>
  <si>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</si>
  <si>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</si>
  <si>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</si>
  <si>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</si>
  <si>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</si>
  <si>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</si>
  <si>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</si>
  <si>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</si>
  <si>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</si>
  <si>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</si>
  <si>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</si>
  <si>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</si>
  <si>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</si>
  <si>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</si>
  <si>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</si>
  <si>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Hamburg</t>
  </si>
  <si>
    <t xml:space="preserve">32–40</t>
  </si>
  <si>
    <t xml:space="preserve">4 (+1 optional)</t>
  </si>
  <si>
    <t xml:space="preserve">Abitur 2027 (APO-AH)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</si>
  <si>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</si>
  <si>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</si>
  <si>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</si>
  <si>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</si>
  <si>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</si>
  <si>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</si>
  <si>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</si>
  <si>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Hamburg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</si>
  <si>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</si>
  <si>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</si>
  <si>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</si>
  <si>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</si>
  <si>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</si>
  <si>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(APO-AH)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</si>
  <si>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</si>
  <si>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</si>
  <si>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</si>
  <si>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</si>
  <si>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</si>
  <si>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</si>
  <si>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</si>
  <si>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</si>
  <si>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</si>
  <si>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</si>
  <si>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</si>
  <si>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</si>
  <si>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</si>
  <si>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</si>
  <si>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</si>
  <si>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</si>
  <si>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</si>
  <si>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</si>
  <si>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</si>
  <si>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</si>
  <si>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</si>
  <si>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</si>
  <si>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</si>
  <si>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</si>
  <si>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</si>
  <si>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</si>
  <si>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</si>
  <si>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</si>
  <si>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</si>
  <si>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</si>
  <si>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</si>
  <si>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</si>
  <si>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</si>
  <si>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</si>
  <si>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</si>
  <si>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</si>
  <si>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</si>
  <si>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</si>
  <si>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</si>
  <si>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</si>
  <si>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</si>
  <si>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</si>
  <si>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</si>
  <si>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</si>
  <si>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</si>
  <si>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</si>
  <si>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</si>
  <si>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</si>
  <si>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</si>
  <si>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</si>
  <si>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</si>
  <si>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</si>
  <si>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</si>
  <si>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</si>
  <si>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</si>
  <si>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</si>
  <si>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</si>
  <si>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</si>
  <si>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</si>
  <si>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</si>
  <si>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</si>
  <si>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</si>
  <si>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</si>
  <si>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</si>
  <si>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</si>
  <si>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</si>
  <si>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</si>
  <si>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</si>
  <si>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</si>
  <si>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profilgebendes Fach, erhöhtes Niveau · zählt doppelt</t>
  </si>
  <si>
    <t xml:space="preserve">Abi</t>
  </si>
  <si>
    <t xml:space="preserve">Status</t>
  </si>
  <si>
    <t xml:space="preserve">fehlende Pflicht-Halbjahre</t>
  </si>
  <si>
    <t xml:space="preserve">2. Prüfungsfach
Kernfach, erhöhtes Niveau · zählt doppelt</t>
  </si>
  <si>
    <t xml:space="preserve">Block I – Qualifikationsphase</t>
  </si>
  <si>
    <t xml:space="preserve">von 600 (mind. 200)</t>
  </si>
  <si>
    <t xml:space="preserve">Pool Anzahl</t>
  </si>
  <si>
    <t xml:space="preserve">3. Prüfungsfach
schriftlich</t>
  </si>
  <si>
    <t xml:space="preserve">Block II – Abiturprüfungen</t>
  </si>
  <si>
    <t xml:space="preserve">von 300 (mind. 100)</t>
  </si>
  <si>
    <t xml:space="preserve">Pool &gt;=5</t>
  </si>
  <si>
    <t xml:space="preserve">4. Prüfungsfach
mündlich oder Präsentationsprüfung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</si>
  <si>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</si>
  <si>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</si>
  <si>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</si>
  <si>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</si>
  <si>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Weitere Kurse</t>
  </si>
  <si>
    <t xml:space="preserve">Pflicht (x)</t>
  </si>
  <si>
    <t xml:space="preserve">Abiturnote</t>
  </si>
  <si>
    <t xml:space="preserve">UK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</si>
  <si>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</si>
  <si>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</si>
  <si>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</si>
  <si>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</si>
  <si>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</si>
  <si>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</si>
  <si>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</si>
  <si>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Bis zur nächsten besseren Note</t>
  </si>
  <si>
    <t xml:space="preserve">Summe GK (Pflicht)</t>
  </si>
  <si>
    <t xml:space="preserve">Kurs 2</t>
  </si>
  <si>
    <t xml:space="preserve">Puffer bis zur schlechteren Note</t>
  </si>
  <si>
    <t xml:space="preserve">Pflicht-HJ mit 0 Punkten</t>
  </si>
  <si>
    <t xml:space="preserve">Kurs 3</t>
  </si>
  <si>
    <t xml:space="preserve">Eingebrachte Halbjahre</t>
  </si>
  <si>
    <t xml:space="preserve">beste Variante A</t>
  </si>
  <si>
    <t xml:space="preserve">Kurs 4</t>
  </si>
  <si>
    <t xml:space="preserve">Unterkurse (unter 5 Punkten)</t>
  </si>
  <si>
    <t xml:space="preserve">beste Variante F</t>
  </si>
  <si>
    <t xml:space="preserve">Kurs 5</t>
  </si>
  <si>
    <t xml:space="preserve">Hebel: +1 Punkt in einer Prüfung</t>
  </si>
  <si>
    <t xml:space="preserve">Gesamtpunkte</t>
  </si>
  <si>
    <t xml:space="preserve">optionale Prüfung</t>
  </si>
  <si>
    <t xml:space="preserve">Kurs 6</t>
  </si>
  <si>
    <t xml:space="preserve">Hebel: +1 Punkt in einem Halbjahr</t>
  </si>
  <si>
    <t xml:space="preserve">Gesamtpunkte (einfach gewertetes HJ)</t>
  </si>
  <si>
    <t xml:space="preserve">Faktor Prüfungen</t>
  </si>
  <si>
    <t xml:space="preserve">Kurs 7</t>
  </si>
  <si>
    <t xml:space="preserve">Block II A</t>
  </si>
  <si>
    <t xml:space="preserve">Kurs 8</t>
  </si>
  <si>
    <t xml:space="preserve">Bedingungen für die Zulassung / das Bestehen</t>
  </si>
  <si>
    <t xml:space="preserve">Wert</t>
  </si>
  <si>
    <t xml:space="preserve">&gt;=5 Punkte A</t>
  </si>
  <si>
    <t xml:space="preserve">Kurs 9</t>
  </si>
  <si>
    <t xml:space="preserve">Block I mindestens 200 Punkte</t>
  </si>
  <si>
    <t xml:space="preserve">&gt;=5 in Pflichtfächern A</t>
  </si>
  <si>
    <t xml:space="preserve">Kurs 10</t>
  </si>
  <si>
    <t xml:space="preserve">Prüfung 0 A</t>
  </si>
  <si>
    <t xml:space="preserve">Kurs 11</t>
  </si>
  <si>
    <t xml:space="preserve">Keine Pflicht-Halbjahre mit 0 Punkten</t>
  </si>
  <si>
    <t xml:space="preserve">unter Mindestpunktzahl A</t>
  </si>
  <si>
    <t xml:space="preserve">Kurs 12</t>
  </si>
  <si>
    <t xml:space="preserve">Nicht mehr Pflichtkurse markiert, als eingebracht werden dürfen</t>
  </si>
  <si>
    <t xml:space="preserve">Block II F</t>
  </si>
  <si>
    <t xml:space="preserve">Kurs 13</t>
  </si>
  <si>
    <t xml:space="preserve">Block II mindestens 100 Punkte</t>
  </si>
  <si>
    <t xml:space="preserve">&gt;=5 Punkte F</t>
  </si>
  <si>
    <t xml:space="preserve">Kurs 14</t>
  </si>
  <si>
    <t xml:space="preserve">&gt;=5 in Pflichtfächern F</t>
  </si>
  <si>
    <t xml:space="preserve">Gesamtpunktzahl mindestens 300</t>
  </si>
  <si>
    <t xml:space="preserve">Prüfung 0 F</t>
  </si>
  <si>
    <t xml:space="preserve">Besondere Lernleistung
optional – dann zählen alle Prüfungen vierfach</t>
  </si>
  <si>
    <t xml:space="preserve">optional</t>
  </si>
  <si>
    <t xml:space="preserve">unter Mindestpunktzahl F</t>
  </si>
  <si>
    <t xml:space="preserve">Legende</t>
  </si>
  <si>
    <t xml:space="preserve">nötige Prüfungen &gt;=5</t>
  </si>
  <si>
    <t xml:space="preserve">Die Regeln in Hamburg kurz erklärt</t>
  </si>
  <si>
    <t xml:space="preserve">Eingabefeld (Punkte 0–15)</t>
  </si>
  <si>
    <t xml:space="preserve">fehlende Prüfungen</t>
  </si>
  <si>
    <t xml:space="preserve">• 32 bis 40 Semesterergebnisse; profilgebendes Fach und ein eA-Kernfach zählen doppelt.</t>
  </si>
  <si>
    <t xml:space="preserve">Halbjahr wird eingebracht</t>
  </si>
  <si>
    <t xml:space="preserve">B2 Bedingung 0 A</t>
  </si>
  <si>
    <t xml:space="preserve">• Block I = Punktsumme / Anzahl × 40, kaufmännisch gerundet (der Rechner wählt die beste Anzahl).</t>
  </si>
  <si>
    <t xml:space="preserve">eingebracht, aber Unterkurs (unter 5 Punkten)</t>
  </si>
  <si>
    <t xml:space="preserve">B2 Bedingung 1 A</t>
  </si>
  <si>
    <t xml:space="preserve">• Höchstens ein Fünftel der Ergebnisse unter 5 Punkten, keine 0 Punkte.</t>
  </si>
  <si>
    <t xml:space="preserve">wird nicht eingebracht (Streichergebnis)</t>
  </si>
  <si>
    <t xml:space="preserve">B2 gültig A</t>
  </si>
  <si>
    <t xml:space="preserve">• Block II: 4 Prüfungen fünffach, mit besonderer Lernleistung vierfach.</t>
  </si>
  <si>
    <t xml:space="preserve">B2 Bedingung 0 F</t>
  </si>
  <si>
    <t xml:space="preserve">• Bestehen Block II: mind. 100 Punkte, in 2 Fächern (darunter ein eA-Fach) mind. 5 Punkte.</t>
  </si>
  <si>
    <t xml:space="preserve">Die Tabelle wählt automatisch die günstigsten Halbjahre aus.</t>
  </si>
  <si>
    <t xml:space="preserve">B2 Bedingung 1 F</t>
  </si>
  <si>
    <t xml:space="preserve">Blattschutz ohne Passwort: Überprüfen → Blatt schützen aufheben.</t>
  </si>
  <si>
    <t xml:space="preserve">B2 gültig F</t>
  </si>
  <si>
    <t xml:space="preserve">Quelle: APO-AH Hamburg § 32, Anlage 4</t>
  </si>
  <si>
    <t xml:space="preserve">fehlende Eingaben</t>
  </si>
  <si>
    <t xml:space="preserve">https://www.hamburg.de/resource/blob/133942/83622ebebbcb4b771d65dc3b1f1a3996/bsb-apo-ah-18-03-2009-data.pdf</t>
  </si>
  <si>
    <t xml:space="preserve">vollständig</t>
  </si>
  <si>
    <t xml:space="preserve">m_pts</t>
  </si>
  <si>
    <t xml:space="preserve">Online-Rechner Hamburg mit Statistik und PDF-Download: https://www.abi-rechner.com/bundeslander/hamburg/</t>
  </si>
  <si>
    <t xml:space="preserve">m_cnt</t>
  </si>
  <si>
    <t xml:space="preserve">Alle Angaben ohne Gewähr. Maßgeblich ist die Oberstufenverordnung deines Landes und die Auskunft deiner Schule.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</si>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</sst>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hamburg.de/resource/blob/133942/83622ebebbcb4b771d65dc3b1f1a3996/bsb-apo-ah-18-03-2009-data.pdf" TargetMode="External"/><Relationship Id="rId3" Type="http://schemas.openxmlformats.org/officeDocument/2006/relationships/hyperlink" Target="https://www.abi-rechner.com/bundeslander/hamburg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Hamburg'!A1" display="Hamburg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IFERROR(AVERAGE($E$6:$H$24),7)</f>
        <v>7</v>
      </c>
      <c r="BZ2" s="15" t="n">
        <f aca="false">IFERROR(LARGE($AH$6:$AK$24,1),0)</f>
        <v>0</v>
      </c>
      <c r="CA2" s="15" t="n">
        <f aca="false">BZ2</f>
        <v>0</v>
      </c>
      <c r="CB2" s="15" t="n">
        <f aca="false">IFERROR(LARGE($AM$6:$AP$24,1),0)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IFERROR(AVERAGE($I$6:$I$9),$U$2)</f>
        <v>7</v>
      </c>
      <c r="BZ3" s="15" t="n">
        <f aca="false">IFERROR(LARGE($AH$6:$AK$24,2),0)</f>
        <v>0</v>
      </c>
      <c r="CA3" s="15" t="n">
        <f aca="false">CA2+BZ3</f>
        <v>0</v>
      </c>
      <c r="CB3" s="15" t="n">
        <f aca="false">IFERROR(LARGE($AM$6:$AP$24,2),0)</f>
        <v>0</v>
      </c>
      <c r="CC3" s="15" t="n">
        <f aca="false">CC2+CB3</f>
        <v>0</v>
      </c>
      <c r="CE3" s="15" t="n">
        <f aca="false">32</f>
        <v>32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2*AW6+2*AX6+2*AW7+2*AX7</f>
        <v>0</v>
      </c>
      <c r="CM3" s="15" t="n">
        <f aca="false">2*AY6+2*AZ6+2*AY7+2*AZ7+1*AY8+1*AZ8+1*AY9+1*AZ9+SUM($AA$11:$AA$24)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IF(CK3&lt;32,6,IF(CK3&gt;40,8,CHOOSE(CK3-31,6,6,6,7,7,7,7,7,8)))</f>
        <v>6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32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IF(COUNT($E$6:$H$24,$I$6:$I$9)&gt;0,1,0)</f>
        <v>0</v>
      </c>
      <c r="BZ4" s="15" t="n">
        <f aca="false">IFERROR(LARGE($AH$6:$AK$24,3),0)</f>
        <v>0</v>
      </c>
      <c r="CA4" s="15" t="n">
        <f aca="false">CA3+BZ4</f>
        <v>0</v>
      </c>
      <c r="CB4" s="15" t="n">
        <f aca="false">IFERROR(LARGE($AM$6:$AP$24,3),0)</f>
        <v>0</v>
      </c>
      <c r="CC4" s="15" t="n">
        <f aca="false">CC3+CB4</f>
        <v>0</v>
      </c>
      <c r="CE4" s="15" t="n">
        <f aca="false">33</f>
        <v>33</v>
      </c>
      <c r="CF4" s="15" t="n">
        <f aca="false">CE4-$U$5-$U$6-0</f>
        <v>17</v>
      </c>
      <c r="CG4" s="15" t="n">
        <f aca="false">MAX(0,CF4)</f>
        <v>17</v>
      </c>
      <c r="CH4" s="15" t="n">
        <f aca="false">MIN(CG4,$U$7)</f>
        <v>0</v>
      </c>
      <c r="CI4" s="15" t="n">
        <f aca="false">CG4-CH4</f>
        <v>17</v>
      </c>
      <c r="CJ4" s="15" t="n">
        <f aca="false">0</f>
        <v>0</v>
      </c>
      <c r="CK4" s="15" t="n">
        <f aca="false">$U$5+CH4+CJ4</f>
        <v>0</v>
      </c>
      <c r="CL4" s="15" t="n">
        <f aca="false">2*AW6+2*AX6+2*AW7+2*AX7</f>
        <v>0</v>
      </c>
      <c r="CM4" s="15" t="n">
        <f aca="false">2*AY6+2*AZ6+2*AY7+2*AZ7+1*AY8+1*AZ8+1*AY9+1*AZ9+SUM($AA$11:$AA$24)</f>
        <v>0</v>
      </c>
      <c r="CN4" s="15" t="n">
        <f aca="false">IF(CH4=0,0,INDEX($CA$2:$CA$57,CH4))</f>
        <v>0</v>
      </c>
      <c r="CO4" s="15" t="n">
        <f aca="false">CL4+$U$11+CN4+CJ4*$U$2</f>
        <v>0</v>
      </c>
      <c r="CP4" s="15" t="n">
        <f aca="false">CM4+CH4+CJ4</f>
        <v>0</v>
      </c>
      <c r="CQ4" s="15" t="n">
        <f aca="false">IF(CP4&gt;0,MIN(600,INT((CO4/CP4*40)+0.5+0.000000001)),0)</f>
        <v>0</v>
      </c>
      <c r="CR4" s="15" t="n">
        <f aca="false">$U$9+CT4</f>
        <v>0</v>
      </c>
      <c r="CS4" s="15" t="n">
        <f aca="false">IF(CK4&lt;32,6,IF(CK4&gt;40,8,CHOOSE(CK4-31,6,6,6,7,7,7,7,7,8)))</f>
        <v>6</v>
      </c>
      <c r="CT4" s="15" t="n">
        <f aca="false">$U$10+MAX(0,CH4-$U$8)+CJ4*IF($U$2&lt;5,1,0)</f>
        <v>0</v>
      </c>
      <c r="CU4" s="15" t="n">
        <f aca="false">$U$11+CN4+CJ4*$U$2</f>
        <v>0</v>
      </c>
      <c r="CV4" s="15" t="n">
        <f aca="false">IF(CQ4&gt;=200,1,0)</f>
        <v>0</v>
      </c>
      <c r="CW4" s="15" t="n">
        <f aca="false">IF(CR4&lt;=CS4,1,0)</f>
        <v>1</v>
      </c>
      <c r="CX4" s="15" t="n">
        <f aca="false">1</f>
        <v>1</v>
      </c>
      <c r="CY4" s="15" t="n">
        <f aca="false">1</f>
        <v>1</v>
      </c>
      <c r="CZ4" s="15" t="n">
        <f aca="false">1</f>
        <v>1</v>
      </c>
      <c r="DA4" s="15" t="n">
        <f aca="false">1</f>
        <v>1</v>
      </c>
      <c r="DB4" s="15" t="n">
        <f aca="false">IF($U$12=0,1,0)</f>
        <v>1</v>
      </c>
      <c r="DC4" s="15" t="n">
        <f aca="false">1</f>
        <v>1</v>
      </c>
      <c r="DD4" s="15" t="n">
        <f aca="false">1</f>
        <v>1</v>
      </c>
      <c r="DE4" s="15" t="n">
        <f aca="false">IF(CF4&lt;0,0,1)</f>
        <v>1</v>
      </c>
      <c r="DF4" s="15" t="n">
        <f aca="false">IF(CV4*CW4*CX4*CY4*CZ4*DA4*DB4*DC4*DD4*DE4=1,1,0)</f>
        <v>0</v>
      </c>
      <c r="DG4" s="15" t="n">
        <f aca="false">$U$6+CI4</f>
        <v>33</v>
      </c>
      <c r="DH4" s="15" t="n">
        <f aca="false">DF4*1000000+CQ4*100+(100-CK4)</f>
        <v>100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AY6+AY7+AY8+AY9+AZ6+AZ7+AZ8+AZ9+SUM($AA$11:$AA$24)</f>
        <v>0</v>
      </c>
      <c r="V5" s="15" t="n">
        <f aca="false">BG6+BG7+BG8+BG9+BH6+BH7+BH8+BH9+SUM($AE$11:$AE$24)</f>
        <v>16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IFERROR(LARGE($AH$6:$AK$24,4),0)</f>
        <v>0</v>
      </c>
      <c r="CA5" s="15" t="n">
        <f aca="false">CA4+BZ5</f>
        <v>0</v>
      </c>
      <c r="CB5" s="15" t="n">
        <f aca="false">IFERROR(LARGE($AM$6:$AP$24,4),0)</f>
        <v>0</v>
      </c>
      <c r="CC5" s="15" t="n">
        <f aca="false">CC4+CB5</f>
        <v>0</v>
      </c>
      <c r="CE5" s="15" t="n">
        <f aca="false">34</f>
        <v>34</v>
      </c>
      <c r="CF5" s="15" t="n">
        <f aca="false">CE5-$U$5-$U$6-0</f>
        <v>18</v>
      </c>
      <c r="CG5" s="15" t="n">
        <f aca="false">MAX(0,CF5)</f>
        <v>18</v>
      </c>
      <c r="CH5" s="15" t="n">
        <f aca="false">MIN(CG5,$U$7)</f>
        <v>0</v>
      </c>
      <c r="CI5" s="15" t="n">
        <f aca="false">CG5-CH5</f>
        <v>18</v>
      </c>
      <c r="CJ5" s="15" t="n">
        <f aca="false">0</f>
        <v>0</v>
      </c>
      <c r="CK5" s="15" t="n">
        <f aca="false">$U$5+CH5+CJ5</f>
        <v>0</v>
      </c>
      <c r="CL5" s="15" t="n">
        <f aca="false">2*AW6+2*AX6+2*AW7+2*AX7</f>
        <v>0</v>
      </c>
      <c r="CM5" s="15" t="n">
        <f aca="false">2*AY6+2*AZ6+2*AY7+2*AZ7+1*AY8+1*AZ8+1*AY9+1*AZ9+SUM($AA$11:$AA$24)</f>
        <v>0</v>
      </c>
      <c r="CN5" s="15" t="n">
        <f aca="false">IF(CH5=0,0,INDEX($CA$2:$CA$57,CH5))</f>
        <v>0</v>
      </c>
      <c r="CO5" s="15" t="n">
        <f aca="false">CL5+$U$11+CN5+CJ5*$U$2</f>
        <v>0</v>
      </c>
      <c r="CP5" s="15" t="n">
        <f aca="false">CM5+CH5+CJ5</f>
        <v>0</v>
      </c>
      <c r="CQ5" s="15" t="n">
        <f aca="false">IF(CP5&gt;0,MIN(600,INT((CO5/CP5*40)+0.5+0.000000001)),0)</f>
        <v>0</v>
      </c>
      <c r="CR5" s="15" t="n">
        <f aca="false">$U$9+CT5</f>
        <v>0</v>
      </c>
      <c r="CS5" s="15" t="n">
        <f aca="false">IF(CK5&lt;32,6,IF(CK5&gt;40,8,CHOOSE(CK5-31,6,6,6,7,7,7,7,7,8)))</f>
        <v>6</v>
      </c>
      <c r="CT5" s="15" t="n">
        <f aca="false">$U$10+MAX(0,CH5-$U$8)+CJ5*IF($U$2&lt;5,1,0)</f>
        <v>0</v>
      </c>
      <c r="CU5" s="15" t="n">
        <f aca="false">$U$11+CN5+CJ5*$U$2</f>
        <v>0</v>
      </c>
      <c r="CV5" s="15" t="n">
        <f aca="false">IF(CQ5&gt;=200,1,0)</f>
        <v>0</v>
      </c>
      <c r="CW5" s="15" t="n">
        <f aca="false">IF(CR5&lt;=CS5,1,0)</f>
        <v>1</v>
      </c>
      <c r="CX5" s="15" t="n">
        <f aca="false">1</f>
        <v>1</v>
      </c>
      <c r="CY5" s="15" t="n">
        <f aca="false">1</f>
        <v>1</v>
      </c>
      <c r="CZ5" s="15" t="n">
        <f aca="false">1</f>
        <v>1</v>
      </c>
      <c r="DA5" s="15" t="n">
        <f aca="false">1</f>
        <v>1</v>
      </c>
      <c r="DB5" s="15" t="n">
        <f aca="false">IF($U$12=0,1,0)</f>
        <v>1</v>
      </c>
      <c r="DC5" s="15" t="n">
        <f aca="false">1</f>
        <v>1</v>
      </c>
      <c r="DD5" s="15" t="n">
        <f aca="false">1</f>
        <v>1</v>
      </c>
      <c r="DE5" s="15" t="n">
        <f aca="false">IF(CF5&lt;0,0,1)</f>
        <v>1</v>
      </c>
      <c r="DF5" s="15" t="n">
        <f aca="false">IF(CV5*CW5*CX5*CY5*CZ5*DA5*DB5*DC5*DD5*DE5=1,1,0)</f>
        <v>0</v>
      </c>
      <c r="DG5" s="15" t="n">
        <f aca="false">$U$6+CI5</f>
        <v>34</v>
      </c>
      <c r="DH5" s="15" t="n">
        <f aca="false">DF5*1000000+CQ5*100+(100-CK5)</f>
        <v>100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ein.",IF($U$36=1,"Endergebnis (alle Felder ausgefüllt)","Prognose: "&amp;$U$35&amp;"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</f>
        <v>16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IF(BN6="","",IF(ISNUMBER($J$6),INT(((2*BN6+$J$6)/3*$U$16)+0.5+0.000000001),BN6*$U$16))</f>
        <v/>
      </c>
      <c r="BP6" s="15" t="n">
        <f aca="false">IF(BO6="",0,IF(BO6&gt;=5*$U$16-0.000000001,1,0))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IF(BT6="","",IF(ISNUMBER($J$6),INT(((2*BT6+$J$6)/3*$U$16)+0.5+0.000000001),BT6*$U$16))</f>
        <v>35</v>
      </c>
      <c r="BV6" s="15" t="n">
        <f aca="false">IF(BU6="",0,IF(BU6&gt;=5*$U$16-0.000000001,1,0))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IFERROR(LARGE($AH$6:$AK$24,5),0)</f>
        <v>0</v>
      </c>
      <c r="CA6" s="15" t="n">
        <f aca="false">CA5+BZ6</f>
        <v>0</v>
      </c>
      <c r="CB6" s="15" t="n">
        <f aca="false">IFERROR(LARGE($AM$6:$AP$24,5),0)</f>
        <v>0</v>
      </c>
      <c r="CC6" s="15" t="n">
        <f aca="false">CC5+CB6</f>
        <v>0</v>
      </c>
      <c r="CE6" s="15" t="n">
        <f aca="false">35</f>
        <v>35</v>
      </c>
      <c r="CF6" s="15" t="n">
        <f aca="false">CE6-$U$5-$U$6-0</f>
        <v>19</v>
      </c>
      <c r="CG6" s="15" t="n">
        <f aca="false">MAX(0,CF6)</f>
        <v>19</v>
      </c>
      <c r="CH6" s="15" t="n">
        <f aca="false">MIN(CG6,$U$7)</f>
        <v>0</v>
      </c>
      <c r="CI6" s="15" t="n">
        <f aca="false">CG6-CH6</f>
        <v>19</v>
      </c>
      <c r="CJ6" s="15" t="n">
        <f aca="false">0</f>
        <v>0</v>
      </c>
      <c r="CK6" s="15" t="n">
        <f aca="false">$U$5+CH6+CJ6</f>
        <v>0</v>
      </c>
      <c r="CL6" s="15" t="n">
        <f aca="false">2*AW6+2*AX6+2*AW7+2*AX7</f>
        <v>0</v>
      </c>
      <c r="CM6" s="15" t="n">
        <f aca="false">2*AY6+2*AZ6+2*AY7+2*AZ7+1*AY8+1*AZ8+1*AY9+1*AZ9+SUM($AA$11:$AA$24)</f>
        <v>0</v>
      </c>
      <c r="CN6" s="15" t="n">
        <f aca="false">IF(CH6=0,0,INDEX($CA$2:$CA$57,CH6))</f>
        <v>0</v>
      </c>
      <c r="CO6" s="15" t="n">
        <f aca="false">CL6+$U$11+CN6+CJ6*$U$2</f>
        <v>0</v>
      </c>
      <c r="CP6" s="15" t="n">
        <f aca="false">CM6+CH6+CJ6</f>
        <v>0</v>
      </c>
      <c r="CQ6" s="15" t="n">
        <f aca="false">IF(CP6&gt;0,MIN(600,INT((CO6/CP6*40)+0.5+0.000000001)),0)</f>
        <v>0</v>
      </c>
      <c r="CR6" s="15" t="n">
        <f aca="false">$U$9+CT6</f>
        <v>0</v>
      </c>
      <c r="CS6" s="15" t="n">
        <f aca="false">IF(CK6&lt;32,6,IF(CK6&gt;40,8,CHOOSE(CK6-31,6,6,6,7,7,7,7,7,8)))</f>
        <v>6</v>
      </c>
      <c r="CT6" s="15" t="n">
        <f aca="false">$U$10+MAX(0,CH6-$U$8)+CJ6*IF($U$2&lt;5,1,0)</f>
        <v>0</v>
      </c>
      <c r="CU6" s="15" t="n">
        <f aca="false">$U$11+CN6+CJ6*$U$2</f>
        <v>0</v>
      </c>
      <c r="CV6" s="15" t="n">
        <f aca="false">IF(CQ6&gt;=200,1,0)</f>
        <v>0</v>
      </c>
      <c r="CW6" s="15" t="n">
        <f aca="false">IF(CR6&lt;=CS6,1,0)</f>
        <v>1</v>
      </c>
      <c r="CX6" s="15" t="n">
        <f aca="false">1</f>
        <v>1</v>
      </c>
      <c r="CY6" s="15" t="n">
        <f aca="false">1</f>
        <v>1</v>
      </c>
      <c r="CZ6" s="15" t="n">
        <f aca="false">1</f>
        <v>1</v>
      </c>
      <c r="DA6" s="15" t="n">
        <f aca="false">1</f>
        <v>1</v>
      </c>
      <c r="DB6" s="15" t="n">
        <f aca="false">IF($U$12=0,1,0)</f>
        <v>1</v>
      </c>
      <c r="DC6" s="15" t="n">
        <f aca="false">1</f>
        <v>1</v>
      </c>
      <c r="DD6" s="15" t="n">
        <f aca="false">1</f>
        <v>1</v>
      </c>
      <c r="DE6" s="15" t="n">
        <f aca="false">IF(CF6&lt;0,0,1)</f>
        <v>1</v>
      </c>
      <c r="DF6" s="15" t="n">
        <f aca="false">IF(CV6*CW6*CX6*CY6*CZ6*DA6*DB6*DC6*DD6*DE6=1,1,0)</f>
        <v>0</v>
      </c>
      <c r="DG6" s="15" t="n">
        <f aca="false">$U$6+CI6</f>
        <v>35</v>
      </c>
      <c r="DH6" s="15" t="n">
        <f aca="false">DF6*1000000+CQ6*100+(100-CK6)</f>
        <v>100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IF($U$4=0,"",$U$37)</f>
        <v/>
      </c>
      <c r="N7" s="29" t="s">
        <v>115</v>
      </c>
      <c r="T7" s="15" t="s">
        <v>116</v>
      </c>
      <c r="U7" s="15" t="n">
        <f aca="false">COUNT($AH$6:$AK$24)</f>
        <v>0</v>
      </c>
      <c r="V7" s="15" t="n">
        <f aca="false">COUNT($AM$6:$AP$24)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IF(BN7="","",IF(ISNUMBER($J$7),INT(((2*BN7+$J$7)/3*$U$16)+0.5+0.000000001),BN7*$U$16))</f>
        <v/>
      </c>
      <c r="BP7" s="15" t="n">
        <f aca="false">IF(BO7="",0,IF(BO7&gt;=5*$U$16-0.000000001,1,0))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IF(BT7="","",IF(ISNUMBER($J$7),INT(((2*BT7+$J$7)/3*$U$16)+0.5+0.000000001),BT7*$U$16))</f>
        <v>35</v>
      </c>
      <c r="BV7" s="15" t="n">
        <f aca="false">IF(BU7="",0,IF(BU7&gt;=5*$U$16-0.000000001,1,0))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IFERROR(LARGE($AH$6:$AK$24,6),0)</f>
        <v>0</v>
      </c>
      <c r="CA7" s="15" t="n">
        <f aca="false">CA6+BZ7</f>
        <v>0</v>
      </c>
      <c r="CB7" s="15" t="n">
        <f aca="false">IFERROR(LARGE($AM$6:$AP$24,6),0)</f>
        <v>0</v>
      </c>
      <c r="CC7" s="15" t="n">
        <f aca="false">CC6+CB7</f>
        <v>0</v>
      </c>
      <c r="CE7" s="15" t="n">
        <f aca="false">36</f>
        <v>36</v>
      </c>
      <c r="CF7" s="15" t="n">
        <f aca="false">CE7-$U$5-$U$6-0</f>
        <v>20</v>
      </c>
      <c r="CG7" s="15" t="n">
        <f aca="false">MAX(0,CF7)</f>
        <v>20</v>
      </c>
      <c r="CH7" s="15" t="n">
        <f aca="false">MIN(CG7,$U$7)</f>
        <v>0</v>
      </c>
      <c r="CI7" s="15" t="n">
        <f aca="false">CG7-CH7</f>
        <v>20</v>
      </c>
      <c r="CJ7" s="15" t="n">
        <f aca="false">0</f>
        <v>0</v>
      </c>
      <c r="CK7" s="15" t="n">
        <f aca="false">$U$5+CH7+CJ7</f>
        <v>0</v>
      </c>
      <c r="CL7" s="15" t="n">
        <f aca="false">2*AW6+2*AX6+2*AW7+2*AX7</f>
        <v>0</v>
      </c>
      <c r="CM7" s="15" t="n">
        <f aca="false">2*AY6+2*AZ6+2*AY7+2*AZ7+1*AY8+1*AZ8+1*AY9+1*AZ9+SUM($AA$11:$AA$24)</f>
        <v>0</v>
      </c>
      <c r="CN7" s="15" t="n">
        <f aca="false">IF(CH7=0,0,INDEX($CA$2:$CA$57,CH7))</f>
        <v>0</v>
      </c>
      <c r="CO7" s="15" t="n">
        <f aca="false">CL7+$U$11+CN7+CJ7*$U$2</f>
        <v>0</v>
      </c>
      <c r="CP7" s="15" t="n">
        <f aca="false">CM7+CH7+CJ7</f>
        <v>0</v>
      </c>
      <c r="CQ7" s="15" t="n">
        <f aca="false">IF(CP7&gt;0,MIN(600,INT((CO7/CP7*40)+0.5+0.000000001)),0)</f>
        <v>0</v>
      </c>
      <c r="CR7" s="15" t="n">
        <f aca="false">$U$9+CT7</f>
        <v>0</v>
      </c>
      <c r="CS7" s="15" t="n">
        <f aca="false">IF(CK7&lt;32,6,IF(CK7&gt;40,8,CHOOSE(CK7-31,6,6,6,7,7,7,7,7,8)))</f>
        <v>6</v>
      </c>
      <c r="CT7" s="15" t="n">
        <f aca="false">$U$10+MAX(0,CH7-$U$8)+CJ7*IF($U$2&lt;5,1,0)</f>
        <v>0</v>
      </c>
      <c r="CU7" s="15" t="n">
        <f aca="false">$U$11+CN7+CJ7*$U$2</f>
        <v>0</v>
      </c>
      <c r="CV7" s="15" t="n">
        <f aca="false">IF(CQ7&gt;=200,1,0)</f>
        <v>0</v>
      </c>
      <c r="CW7" s="15" t="n">
        <f aca="false">IF(CR7&lt;=CS7,1,0)</f>
        <v>1</v>
      </c>
      <c r="CX7" s="15" t="n">
        <f aca="false">1</f>
        <v>1</v>
      </c>
      <c r="CY7" s="15" t="n">
        <f aca="false">1</f>
        <v>1</v>
      </c>
      <c r="CZ7" s="15" t="n">
        <f aca="false">1</f>
        <v>1</v>
      </c>
      <c r="DA7" s="15" t="n">
        <f aca="false">1</f>
        <v>1</v>
      </c>
      <c r="DB7" s="15" t="n">
        <f aca="false">IF($U$12=0,1,0)</f>
        <v>1</v>
      </c>
      <c r="DC7" s="15" t="n">
        <f aca="false">1</f>
        <v>1</v>
      </c>
      <c r="DD7" s="15" t="n">
        <f aca="false">1</f>
        <v>1</v>
      </c>
      <c r="DE7" s="15" t="n">
        <f aca="false">IF(CF7&lt;0,0,1)</f>
        <v>1</v>
      </c>
      <c r="DF7" s="15" t="n">
        <f aca="false">IF(CV7*CW7*CX7*CY7*CZ7*DA7*DB7*DC7*DD7*DE7=1,1,0)</f>
        <v>0</v>
      </c>
      <c r="DG7" s="15" t="n">
        <f aca="false">$U$6+CI7</f>
        <v>36</v>
      </c>
      <c r="DH7" s="15" t="n">
        <f aca="false">DF7*1000000+CQ7*100+(100-CK7)</f>
        <v>100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IF($U$4=0,"",$U$60)</f>
        <v/>
      </c>
      <c r="N8" s="29" t="s">
        <v>119</v>
      </c>
      <c r="T8" s="15" t="s">
        <v>120</v>
      </c>
      <c r="U8" s="15" t="n">
        <f aca="false">COUNTIF($AH$6:$AK$24,"&gt;=5")</f>
        <v>0</v>
      </c>
      <c r="V8" s="15" t="n">
        <f aca="false">COUNTIF($AM$6:$AP$24,"&gt;=5")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IF(BN8="","",IF(ISNUMBER($J$8),INT(((2*BN8+$J$8)/3*$U$16)+0.5+0.000000001),BN8*$U$16))</f>
        <v/>
      </c>
      <c r="BP8" s="15" t="n">
        <f aca="false">IF(BO8="",0,IF(BO8&gt;=5*$U$16-0.000000001,1,0))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IF(BT8="","",IF(ISNUMBER($J$8),INT(((2*BT8+$J$8)/3*$U$16)+0.5+0.000000001),BT8*$U$16))</f>
        <v>35</v>
      </c>
      <c r="BV8" s="15" t="n">
        <f aca="false">IF(BU8="",0,IF(BU8&gt;=5*$U$16-0.000000001,1,0))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IFERROR(LARGE($AH$6:$AK$24,7),0)</f>
        <v>0</v>
      </c>
      <c r="CA8" s="15" t="n">
        <f aca="false">CA7+BZ8</f>
        <v>0</v>
      </c>
      <c r="CB8" s="15" t="n">
        <f aca="false">IFERROR(LARGE($AM$6:$AP$24,7),0)</f>
        <v>0</v>
      </c>
      <c r="CC8" s="15" t="n">
        <f aca="false">CC7+CB8</f>
        <v>0</v>
      </c>
      <c r="CE8" s="15" t="n">
        <f aca="false">37</f>
        <v>37</v>
      </c>
      <c r="CF8" s="15" t="n">
        <f aca="false">CE8-$U$5-$U$6-0</f>
        <v>21</v>
      </c>
      <c r="CG8" s="15" t="n">
        <f aca="false">MAX(0,CF8)</f>
        <v>21</v>
      </c>
      <c r="CH8" s="15" t="n">
        <f aca="false">MIN(CG8,$U$7)</f>
        <v>0</v>
      </c>
      <c r="CI8" s="15" t="n">
        <f aca="false">CG8-CH8</f>
        <v>21</v>
      </c>
      <c r="CJ8" s="15" t="n">
        <f aca="false">0</f>
        <v>0</v>
      </c>
      <c r="CK8" s="15" t="n">
        <f aca="false">$U$5+CH8+CJ8</f>
        <v>0</v>
      </c>
      <c r="CL8" s="15" t="n">
        <f aca="false">2*AW6+2*AX6+2*AW7+2*AX7</f>
        <v>0</v>
      </c>
      <c r="CM8" s="15" t="n">
        <f aca="false">2*AY6+2*AZ6+2*AY7+2*AZ7+1*AY8+1*AZ8+1*AY9+1*AZ9+SUM($AA$11:$AA$24)</f>
        <v>0</v>
      </c>
      <c r="CN8" s="15" t="n">
        <f aca="false">IF(CH8=0,0,INDEX($CA$2:$CA$57,CH8))</f>
        <v>0</v>
      </c>
      <c r="CO8" s="15" t="n">
        <f aca="false">CL8+$U$11+CN8+CJ8*$U$2</f>
        <v>0</v>
      </c>
      <c r="CP8" s="15" t="n">
        <f aca="false">CM8+CH8+CJ8</f>
        <v>0</v>
      </c>
      <c r="CQ8" s="15" t="n">
        <f aca="false">IF(CP8&gt;0,MIN(600,INT((CO8/CP8*40)+0.5+0.000000001)),0)</f>
        <v>0</v>
      </c>
      <c r="CR8" s="15" t="n">
        <f aca="false">$U$9+CT8</f>
        <v>0</v>
      </c>
      <c r="CS8" s="15" t="n">
        <f aca="false">IF(CK8&lt;32,6,IF(CK8&gt;40,8,CHOOSE(CK8-31,6,6,6,7,7,7,7,7,8)))</f>
        <v>6</v>
      </c>
      <c r="CT8" s="15" t="n">
        <f aca="false">$U$10+MAX(0,CH8-$U$8)+CJ8*IF($U$2&lt;5,1,0)</f>
        <v>0</v>
      </c>
      <c r="CU8" s="15" t="n">
        <f aca="false">$U$11+CN8+CJ8*$U$2</f>
        <v>0</v>
      </c>
      <c r="CV8" s="15" t="n">
        <f aca="false">IF(CQ8&gt;=200,1,0)</f>
        <v>0</v>
      </c>
      <c r="CW8" s="15" t="n">
        <f aca="false">IF(CR8&lt;=CS8,1,0)</f>
        <v>1</v>
      </c>
      <c r="CX8" s="15" t="n">
        <f aca="false">1</f>
        <v>1</v>
      </c>
      <c r="CY8" s="15" t="n">
        <f aca="false">1</f>
        <v>1</v>
      </c>
      <c r="CZ8" s="15" t="n">
        <f aca="false">1</f>
        <v>1</v>
      </c>
      <c r="DA8" s="15" t="n">
        <f aca="false">1</f>
        <v>1</v>
      </c>
      <c r="DB8" s="15" t="n">
        <f aca="false">IF($U$12=0,1,0)</f>
        <v>1</v>
      </c>
      <c r="DC8" s="15" t="n">
        <f aca="false">1</f>
        <v>1</v>
      </c>
      <c r="DD8" s="15" t="n">
        <f aca="false">1</f>
        <v>1</v>
      </c>
      <c r="DE8" s="15" t="n">
        <f aca="false">IF(CF8&lt;0,0,1)</f>
        <v>1</v>
      </c>
      <c r="DF8" s="15" t="n">
        <f aca="false">IF(CV8*CW8*CX8*CY8*CZ8*DA8*DB8*DC8*DD8*DE8=1,1,0)</f>
        <v>0</v>
      </c>
      <c r="DG8" s="15" t="n">
        <f aca="false">$U$6+CI8</f>
        <v>37</v>
      </c>
      <c r="DH8" s="15" t="n">
        <f aca="false">DF8*1000000+CQ8*100+(100-CK8)</f>
        <v>100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IF($U$4=0,"",$U$65)</f>
        <v/>
      </c>
      <c r="N9" s="29" t="s">
        <v>124</v>
      </c>
      <c r="T9" s="15" t="s">
        <v>125</v>
      </c>
      <c r="U9" s="15" t="n">
        <f aca="false">BA6+BA7</f>
        <v>0</v>
      </c>
      <c r="V9" s="15" t="n">
        <f aca="false">BI6+BI7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IF(BN9="","",BN9*$U$16)</f>
        <v/>
      </c>
      <c r="BP9" s="15" t="n">
        <f aca="false">IF(BO9="",0,IF(BO9&gt;=5*$U$16-0.000000001,1,0))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IF(BT9="","",BT9*$U$16)</f>
        <v>35</v>
      </c>
      <c r="BV9" s="15" t="n">
        <f aca="false">IF(BU9="",0,IF(BU9&gt;=5*$U$16-0.000000001,1,0))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IFERROR(LARGE($AH$6:$AK$24,8),0)</f>
        <v>0</v>
      </c>
      <c r="CA9" s="15" t="n">
        <f aca="false">CA8+BZ9</f>
        <v>0</v>
      </c>
      <c r="CB9" s="15" t="n">
        <f aca="false">IFERROR(LARGE($AM$6:$AP$24,8),0)</f>
        <v>0</v>
      </c>
      <c r="CC9" s="15" t="n">
        <f aca="false">CC8+CB9</f>
        <v>0</v>
      </c>
      <c r="CE9" s="15" t="n">
        <f aca="false">38</f>
        <v>38</v>
      </c>
      <c r="CF9" s="15" t="n">
        <f aca="false">CE9-$U$5-$U$6-0</f>
        <v>22</v>
      </c>
      <c r="CG9" s="15" t="n">
        <f aca="false">MAX(0,CF9)</f>
        <v>22</v>
      </c>
      <c r="CH9" s="15" t="n">
        <f aca="false">MIN(CG9,$U$7)</f>
        <v>0</v>
      </c>
      <c r="CI9" s="15" t="n">
        <f aca="false">CG9-CH9</f>
        <v>22</v>
      </c>
      <c r="CJ9" s="15" t="n">
        <f aca="false">0</f>
        <v>0</v>
      </c>
      <c r="CK9" s="15" t="n">
        <f aca="false">$U$5+CH9+CJ9</f>
        <v>0</v>
      </c>
      <c r="CL9" s="15" t="n">
        <f aca="false">2*AW6+2*AX6+2*AW7+2*AX7</f>
        <v>0</v>
      </c>
      <c r="CM9" s="15" t="n">
        <f aca="false">2*AY6+2*AZ6+2*AY7+2*AZ7+1*AY8+1*AZ8+1*AY9+1*AZ9+SUM($AA$11:$AA$24)</f>
        <v>0</v>
      </c>
      <c r="CN9" s="15" t="n">
        <f aca="false">IF(CH9=0,0,INDEX($CA$2:$CA$57,CH9))</f>
        <v>0</v>
      </c>
      <c r="CO9" s="15" t="n">
        <f aca="false">CL9+$U$11+CN9+CJ9*$U$2</f>
        <v>0</v>
      </c>
      <c r="CP9" s="15" t="n">
        <f aca="false">CM9+CH9+CJ9</f>
        <v>0</v>
      </c>
      <c r="CQ9" s="15" t="n">
        <f aca="false">IF(CP9&gt;0,MIN(600,INT((CO9/CP9*40)+0.5+0.000000001)),0)</f>
        <v>0</v>
      </c>
      <c r="CR9" s="15" t="n">
        <f aca="false">$U$9+CT9</f>
        <v>0</v>
      </c>
      <c r="CS9" s="15" t="n">
        <f aca="false">IF(CK9&lt;32,6,IF(CK9&gt;40,8,CHOOSE(CK9-31,6,6,6,7,7,7,7,7,8)))</f>
        <v>6</v>
      </c>
      <c r="CT9" s="15" t="n">
        <f aca="false">$U$10+MAX(0,CH9-$U$8)+CJ9*IF($U$2&lt;5,1,0)</f>
        <v>0</v>
      </c>
      <c r="CU9" s="15" t="n">
        <f aca="false">$U$11+CN9+CJ9*$U$2</f>
        <v>0</v>
      </c>
      <c r="CV9" s="15" t="n">
        <f aca="false">IF(CQ9&gt;=200,1,0)</f>
        <v>0</v>
      </c>
      <c r="CW9" s="15" t="n">
        <f aca="false">IF(CR9&lt;=CS9,1,0)</f>
        <v>1</v>
      </c>
      <c r="CX9" s="15" t="n">
        <f aca="false">1</f>
        <v>1</v>
      </c>
      <c r="CY9" s="15" t="n">
        <f aca="false">1</f>
        <v>1</v>
      </c>
      <c r="CZ9" s="15" t="n">
        <f aca="false">1</f>
        <v>1</v>
      </c>
      <c r="DA9" s="15" t="n">
        <f aca="false">1</f>
        <v>1</v>
      </c>
      <c r="DB9" s="15" t="n">
        <f aca="false">IF($U$12=0,1,0)</f>
        <v>1</v>
      </c>
      <c r="DC9" s="15" t="n">
        <f aca="false">1</f>
        <v>1</v>
      </c>
      <c r="DD9" s="15" t="n">
        <f aca="false">1</f>
        <v>1</v>
      </c>
      <c r="DE9" s="15" t="n">
        <f aca="false">IF(CF9&lt;0,0,1)</f>
        <v>1</v>
      </c>
      <c r="DF9" s="15" t="n">
        <f aca="false">IF(CV9*CW9*CX9*CY9*CZ9*DA9*DB9*DC9*DD9*DE9=1,1,0)</f>
        <v>0</v>
      </c>
      <c r="DG9" s="15" t="n">
        <f aca="false">$U$6+CI9</f>
        <v>38</v>
      </c>
      <c r="DH9" s="15" t="n">
        <f aca="false">DF9*1000000+CQ9*100+(100-CK9)</f>
        <v>100</v>
      </c>
    </row>
    <row r="10" customFormat="false" ht="27.75" hidden="false" customHeight="true" outlineLevel="0" collapsed="false">
      <c r="B10" s="6" t="s">
        <v>126</v>
      </c>
      <c r="C10" s="6" t="s">
        <v>74</v>
      </c>
      <c r="D10" s="33" t="s">
        <v>127</v>
      </c>
      <c r="E10" s="34" t="s">
        <v>75</v>
      </c>
      <c r="F10" s="34" t="s">
        <v>76</v>
      </c>
      <c r="G10" s="34" t="s">
        <v>77</v>
      </c>
      <c r="H10" s="34" t="s">
        <v>78</v>
      </c>
      <c r="I10" s="20"/>
      <c r="J10" s="20"/>
      <c r="L10" s="31" t="s">
        <v>128</v>
      </c>
      <c r="M10" s="35" t="str">
        <f aca="false">IF($U$4=0,"",IF($U$67=1,$U$68/10,"nicht bestanden"))</f>
        <v/>
      </c>
      <c r="N10" s="29"/>
      <c r="T10" s="15" t="s">
        <v>129</v>
      </c>
      <c r="U10" s="15" t="n">
        <f aca="false">BA8+BA9+SUM($AB$11:$AB$24)</f>
        <v>0</v>
      </c>
      <c r="V10" s="15" t="n">
        <f aca="false">BI8+BI9+SUM($AF$11:$AF$24)</f>
        <v>0</v>
      </c>
      <c r="X10" s="15" t="s">
        <v>130</v>
      </c>
      <c r="Y10" s="15" t="s">
        <v>131</v>
      </c>
      <c r="Z10" s="15" t="s">
        <v>132</v>
      </c>
      <c r="AA10" s="15" t="s">
        <v>133</v>
      </c>
      <c r="AB10" s="15" t="s">
        <v>89</v>
      </c>
      <c r="AC10" s="15" t="s">
        <v>90</v>
      </c>
      <c r="AD10" s="15" t="s">
        <v>134</v>
      </c>
      <c r="AE10" s="15" t="s">
        <v>135</v>
      </c>
      <c r="AF10" s="15" t="s">
        <v>97</v>
      </c>
      <c r="BZ10" s="15" t="n">
        <f aca="false">IFERROR(LARGE($AH$6:$AK$24,9),0)</f>
        <v>0</v>
      </c>
      <c r="CA10" s="15" t="n">
        <f aca="false">CA9+BZ10</f>
        <v>0</v>
      </c>
      <c r="CB10" s="15" t="n">
        <f aca="false">IFERROR(LARGE($AM$6:$AP$24,9),0)</f>
        <v>0</v>
      </c>
      <c r="CC10" s="15" t="n">
        <f aca="false">CC9+CB10</f>
        <v>0</v>
      </c>
      <c r="CE10" s="15" t="n">
        <f aca="false">39</f>
        <v>39</v>
      </c>
      <c r="CF10" s="15" t="n">
        <f aca="false">CE10-$U$5-$U$6-0</f>
        <v>23</v>
      </c>
      <c r="CG10" s="15" t="n">
        <f aca="false">MAX(0,CF10)</f>
        <v>23</v>
      </c>
      <c r="CH10" s="15" t="n">
        <f aca="false">MIN(CG10,$U$7)</f>
        <v>0</v>
      </c>
      <c r="CI10" s="15" t="n">
        <f aca="false">CG10-CH10</f>
        <v>23</v>
      </c>
      <c r="CJ10" s="15" t="n">
        <f aca="false">0</f>
        <v>0</v>
      </c>
      <c r="CK10" s="15" t="n">
        <f aca="false">$U$5+CH10+CJ10</f>
        <v>0</v>
      </c>
      <c r="CL10" s="15" t="n">
        <f aca="false">2*AW6+2*AX6+2*AW7+2*AX7</f>
        <v>0</v>
      </c>
      <c r="CM10" s="15" t="n">
        <f aca="false">2*AY6+2*AZ6+2*AY7+2*AZ7+1*AY8+1*AZ8+1*AY9+1*AZ9+SUM($AA$11:$AA$24)</f>
        <v>0</v>
      </c>
      <c r="CN10" s="15" t="n">
        <f aca="false">IF(CH10=0,0,INDEX($CA$2:$CA$57,CH10))</f>
        <v>0</v>
      </c>
      <c r="CO10" s="15" t="n">
        <f aca="false">CL10+$U$11+CN10+CJ10*$U$2</f>
        <v>0</v>
      </c>
      <c r="CP10" s="15" t="n">
        <f aca="false">CM10+CH10+CJ10</f>
        <v>0</v>
      </c>
      <c r="CQ10" s="15" t="n">
        <f aca="false">IF(CP10&gt;0,MIN(600,INT((CO10/CP10*40)+0.5+0.000000001)),0)</f>
        <v>0</v>
      </c>
      <c r="CR10" s="15" t="n">
        <f aca="false">$U$9+CT10</f>
        <v>0</v>
      </c>
      <c r="CS10" s="15" t="n">
        <f aca="false">IF(CK10&lt;32,6,IF(CK10&gt;40,8,CHOOSE(CK10-31,6,6,6,7,7,7,7,7,8)))</f>
        <v>6</v>
      </c>
      <c r="CT10" s="15" t="n">
        <f aca="false">$U$10+MAX(0,CH10-$U$8)+CJ10*IF($U$2&lt;5,1,0)</f>
        <v>0</v>
      </c>
      <c r="CU10" s="15" t="n">
        <f aca="false">$U$11+CN10+CJ10*$U$2</f>
        <v>0</v>
      </c>
      <c r="CV10" s="15" t="n">
        <f aca="false">IF(CQ10&gt;=200,1,0)</f>
        <v>0</v>
      </c>
      <c r="CW10" s="15" t="n">
        <f aca="false">IF(CR10&lt;=CS10,1,0)</f>
        <v>1</v>
      </c>
      <c r="CX10" s="15" t="n">
        <f aca="false">1</f>
        <v>1</v>
      </c>
      <c r="CY10" s="15" t="n">
        <f aca="false">1</f>
        <v>1</v>
      </c>
      <c r="CZ10" s="15" t="n">
        <f aca="false">1</f>
        <v>1</v>
      </c>
      <c r="DA10" s="15" t="n">
        <f aca="false">1</f>
        <v>1</v>
      </c>
      <c r="DB10" s="15" t="n">
        <f aca="false">IF($U$12=0,1,0)</f>
        <v>1</v>
      </c>
      <c r="DC10" s="15" t="n">
        <f aca="false">1</f>
        <v>1</v>
      </c>
      <c r="DD10" s="15" t="n">
        <f aca="false">1</f>
        <v>1</v>
      </c>
      <c r="DE10" s="15" t="n">
        <f aca="false">IF(CF10&lt;0,0,1)</f>
        <v>1</v>
      </c>
      <c r="DF10" s="15" t="n">
        <f aca="false">IF(CV10*CW10*CX10*CY10*CZ10*DA10*DB10*DC10*DD10*DE10=1,1,0)</f>
        <v>0</v>
      </c>
      <c r="DG10" s="15" t="n">
        <f aca="false">$U$6+CI10</f>
        <v>39</v>
      </c>
      <c r="DH10" s="15" t="n">
        <f aca="false">DF10*1000000+CQ10*100+(100-CK10)</f>
        <v>100</v>
      </c>
    </row>
    <row r="11" customFormat="false" ht="15" hidden="false" customHeight="false" outlineLevel="0" collapsed="false">
      <c r="B11" s="36" t="s">
        <v>136</v>
      </c>
      <c r="C11" s="37"/>
      <c r="D11" s="38"/>
      <c r="E11" s="24"/>
      <c r="F11" s="24"/>
      <c r="G11" s="24"/>
      <c r="H11" s="24"/>
      <c r="I11" s="39"/>
      <c r="J11" s="39"/>
      <c r="L11" s="26" t="s">
        <v>137</v>
      </c>
      <c r="M11" s="28" t="str">
        <f aca="false">IF($U$4=0,"",IF($U$69="","–",$U$69))</f>
        <v/>
      </c>
      <c r="N11" s="29" t="str">
        <f aca="false">IF($U$4=0,"",IF($U$68="","Punkte bis 300",IF($U$69="","Bestnote erreicht","Punkte → "&amp;FIXED(($U$68-1)/10,1))))</f>
        <v/>
      </c>
      <c r="T11" s="15" t="s">
        <v>138</v>
      </c>
      <c r="U11" s="15" t="n">
        <f aca="false">AW8+AW9+AX8+AX9+SUM($Z$11:$Z$24)</f>
        <v>0</v>
      </c>
      <c r="V11" s="15" t="n">
        <f aca="false">BE8+BE9+BF8+BF9+SUM($AD$11:$AD$24)</f>
        <v>56</v>
      </c>
      <c r="X11" s="15" t="n">
        <f aca="false">IF(OR(LEN(TRIM(C11))&gt;0,COUNT(E11:H11)&gt;0),1,0)</f>
        <v>0</v>
      </c>
      <c r="Y11" s="15" t="n">
        <f aca="false">IF(LEN(TRIM(D11))&gt;0,1,0)</f>
        <v>0</v>
      </c>
      <c r="Z11" s="15" t="n">
        <f aca="false">Y11*SUM(E11:H11)</f>
        <v>0</v>
      </c>
      <c r="AA11" s="15" t="n">
        <f aca="false">Y11*COUNT(E11:H11)</f>
        <v>0</v>
      </c>
      <c r="AB11" s="15" t="n">
        <f aca="false">Y11*COUNTIF(E11:H11,"&lt;5")</f>
        <v>0</v>
      </c>
      <c r="AC11" s="15" t="n">
        <f aca="false">Y11*COUNTIF(E11:H11,0)</f>
        <v>0</v>
      </c>
      <c r="AD11" s="15" t="n">
        <f aca="false">Y11*(SUM(E11:H11)+X11*$U$2*(4-COUNT(E11:H11)))</f>
        <v>0</v>
      </c>
      <c r="AE11" s="15" t="n">
        <f aca="false">Y11*(COUNT(E11:H11)+X11*(4-COUNT(E11:H11)))</f>
        <v>0</v>
      </c>
      <c r="AF11" s="15" t="n">
        <f aca="false">Y11*(COUNTIF(E11:H11,"&lt;5")+X11*IF($U$2&lt;5,1,0)*(4-COUNT(E11:H11)))</f>
        <v>0</v>
      </c>
      <c r="AH11" s="15" t="str">
        <f aca="false">IF(Y11=1,"",IF(ISNUMBER(E11),IF(E11=0,"",E11),""))</f>
        <v/>
      </c>
      <c r="AI11" s="15" t="str">
        <f aca="false">IF(Y11=1,"",IF(ISNUMBER(F11),IF(F11=0,"",F11),""))</f>
        <v/>
      </c>
      <c r="AJ11" s="15" t="str">
        <f aca="false">IF(Y11=1,"",IF(ISNUMBER(G11),IF(G11=0,"",G11),""))</f>
        <v/>
      </c>
      <c r="AK11" s="15" t="str">
        <f aca="false">IF(Y11=1,"",IF(ISNUMBER(H11),IF(H11=0,"",H11),""))</f>
        <v/>
      </c>
      <c r="AM11" s="15" t="str">
        <f aca="false">IF(Y11=1,"",IF(ISNUMBER(E11),IF(E11=0,"",E11),IF(X11=1,$U$2,"")))</f>
        <v/>
      </c>
      <c r="AN11" s="15" t="str">
        <f aca="false">IF(Y11=1,"",IF(ISNUMBER(F11),IF(F11=0,"",F11),IF(X11=1,$U$2,"")))</f>
        <v/>
      </c>
      <c r="AO11" s="15" t="str">
        <f aca="false">IF(Y11=1,"",IF(ISNUMBER(G11),IF(G11=0,"",G11),IF(X11=1,$U$2,"")))</f>
        <v/>
      </c>
      <c r="AP11" s="15" t="str">
        <f aca="false">IF(Y11=1,"",IF(ISNUMBER(H11),IF(H11=0,"",H11),IF(X11=1,$U$2,"")))</f>
        <v/>
      </c>
      <c r="AR11" s="15" t="n">
        <f aca="false">IF(Y11=1,IF(ISNUMBER(E11),1,0),IF(AH11="",0,IF(IF($U$36=1,COUNTIF($AH$6:$AK$24,"&gt;"&amp;AH11),COUNTIF($AM$6:$AP$24,"&gt;"&amp;AH11))+COUNTIF($AH$6:$AK$10,AH11)+1&lt;=$U$46,1,0)))</f>
        <v>0</v>
      </c>
      <c r="AS11" s="15" t="n">
        <f aca="false">IF(Y11=1,IF(ISNUMBER(F11),1,0),IF(AI11="",0,IF(IF($U$36=1,COUNTIF($AH$6:$AK$24,"&gt;"&amp;AI11),COUNTIF($AM$6:$AP$24,"&gt;"&amp;AI11))+COUNTIF($AH$6:$AK$10,AI11)+COUNTIF($AH11:AH11,AI11)+1&lt;=$U$46,1,0)))</f>
        <v>0</v>
      </c>
      <c r="AT11" s="15" t="n">
        <f aca="false">IF(Y11=1,IF(ISNUMBER(G11),1,0),IF(AJ11="",0,IF(IF($U$36=1,COUNTIF($AH$6:$AK$24,"&gt;"&amp;AJ11),COUNTIF($AM$6:$AP$24,"&gt;"&amp;AJ11))+COUNTIF($AH$6:$AK$10,AJ11)+COUNTIF($AH11:AI11,AJ11)+1&lt;=$U$46,1,0)))</f>
        <v>0</v>
      </c>
      <c r="AU11" s="15" t="n">
        <f aca="false">IF(Y11=1,IF(ISNUMBER(H11),1,0),IF(AK11="",0,IF(IF($U$36=1,COUNTIF($AH$6:$AK$24,"&gt;"&amp;AK11),COUNTIF($AM$6:$AP$24,"&gt;"&amp;AK11))+COUNTIF($AH$6:$AK$10,AK11)+COUNTIF($AH11:AJ11,AK11)+1&lt;=$U$46,1,0)))</f>
        <v>0</v>
      </c>
      <c r="BZ11" s="15" t="n">
        <f aca="false">IFERROR(LARGE($AH$6:$AK$24,10),0)</f>
        <v>0</v>
      </c>
      <c r="CA11" s="15" t="n">
        <f aca="false">CA10+BZ11</f>
        <v>0</v>
      </c>
      <c r="CB11" s="15" t="n">
        <f aca="false">IFERROR(LARGE($AM$6:$AP$24,10),0)</f>
        <v>0</v>
      </c>
      <c r="CC11" s="15" t="n">
        <f aca="false">CC10+CB11</f>
        <v>0</v>
      </c>
      <c r="CE11" s="15" t="n">
        <f aca="false">40</f>
        <v>40</v>
      </c>
      <c r="CF11" s="15" t="n">
        <f aca="false">CE11-$U$5-$U$6-0</f>
        <v>24</v>
      </c>
      <c r="CG11" s="15" t="n">
        <f aca="false">MAX(0,CF11)</f>
        <v>24</v>
      </c>
      <c r="CH11" s="15" t="n">
        <f aca="false">MIN(CG11,$U$7)</f>
        <v>0</v>
      </c>
      <c r="CI11" s="15" t="n">
        <f aca="false">CG11-CH11</f>
        <v>24</v>
      </c>
      <c r="CJ11" s="15" t="n">
        <f aca="false">0</f>
        <v>0</v>
      </c>
      <c r="CK11" s="15" t="n">
        <f aca="false">$U$5+CH11+CJ11</f>
        <v>0</v>
      </c>
      <c r="CL11" s="15" t="n">
        <f aca="false">2*AW6+2*AX6+2*AW7+2*AX7</f>
        <v>0</v>
      </c>
      <c r="CM11" s="15" t="n">
        <f aca="false">2*AY6+2*AZ6+2*AY7+2*AZ7+1*AY8+1*AZ8+1*AY9+1*AZ9+SUM($AA$11:$AA$24)</f>
        <v>0</v>
      </c>
      <c r="CN11" s="15" t="n">
        <f aca="false">IF(CH11=0,0,INDEX($CA$2:$CA$57,CH11))</f>
        <v>0</v>
      </c>
      <c r="CO11" s="15" t="n">
        <f aca="false">CL11+$U$11+CN11+CJ11*$U$2</f>
        <v>0</v>
      </c>
      <c r="CP11" s="15" t="n">
        <f aca="false">CM11+CH11+CJ11</f>
        <v>0</v>
      </c>
      <c r="CQ11" s="15" t="n">
        <f aca="false">IF(CP11&gt;0,MIN(600,INT((CO11/CP11*40)+0.5+0.000000001)),0)</f>
        <v>0</v>
      </c>
      <c r="CR11" s="15" t="n">
        <f aca="false">$U$9+CT11</f>
        <v>0</v>
      </c>
      <c r="CS11" s="15" t="n">
        <f aca="false">IF(CK11&lt;32,6,IF(CK11&gt;40,8,CHOOSE(CK11-31,6,6,6,7,7,7,7,7,8)))</f>
        <v>6</v>
      </c>
      <c r="CT11" s="15" t="n">
        <f aca="false">$U$10+MAX(0,CH11-$U$8)+CJ11*IF($U$2&lt;5,1,0)</f>
        <v>0</v>
      </c>
      <c r="CU11" s="15" t="n">
        <f aca="false">$U$11+CN11+CJ11*$U$2</f>
        <v>0</v>
      </c>
      <c r="CV11" s="15" t="n">
        <f aca="false">IF(CQ11&gt;=200,1,0)</f>
        <v>0</v>
      </c>
      <c r="CW11" s="15" t="n">
        <f aca="false">IF(CR11&lt;=CS11,1,0)</f>
        <v>1</v>
      </c>
      <c r="CX11" s="15" t="n">
        <f aca="false">1</f>
        <v>1</v>
      </c>
      <c r="CY11" s="15" t="n">
        <f aca="false">1</f>
        <v>1</v>
      </c>
      <c r="CZ11" s="15" t="n">
        <f aca="false">1</f>
        <v>1</v>
      </c>
      <c r="DA11" s="15" t="n">
        <f aca="false">1</f>
        <v>1</v>
      </c>
      <c r="DB11" s="15" t="n">
        <f aca="false">IF($U$12=0,1,0)</f>
        <v>1</v>
      </c>
      <c r="DC11" s="15" t="n">
        <f aca="false">1</f>
        <v>1</v>
      </c>
      <c r="DD11" s="15" t="n">
        <f aca="false">1</f>
        <v>1</v>
      </c>
      <c r="DE11" s="15" t="n">
        <f aca="false">IF(CF11&lt;0,0,1)</f>
        <v>1</v>
      </c>
      <c r="DF11" s="15" t="n">
        <f aca="false">IF(CV11*CW11*CX11*CY11*CZ11*DA11*DB11*DC11*DD11*DE11=1,1,0)</f>
        <v>0</v>
      </c>
      <c r="DG11" s="15" t="n">
        <f aca="false">$U$6+CI11</f>
        <v>40</v>
      </c>
      <c r="DH11" s="15" t="n">
        <f aca="false">DF11*1000000+CQ11*100+(100-CK11)</f>
        <v>100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IF(OR($U$4=0,$U$70=""),"",$U$70)</f>
        <v/>
      </c>
      <c r="N12" s="29" t="str">
        <f aca="false">IF(OR($U$4=0,$U$70=""),"","Punkte Luft")</f>
        <v/>
      </c>
      <c r="T12" s="15" t="s">
        <v>141</v>
      </c>
      <c r="U12" s="15" t="n">
        <f aca="false">BB6+BB7+BB8+BB9+SUM($AC$11:$AC$24)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IF(Y12=1,IF(ISNUMBER(E12),1,0),IF(AH12="",0,IF(IF($U$36=1,COUNTIF($AH$6:$AK$24,"&gt;"&amp;AH12),COUNTIF($AM$6:$AP$24,"&gt;"&amp;AH12))+COUNTIF($AH$6:$AK$11,AH12)+1&lt;=$U$46,1,0)))</f>
        <v>0</v>
      </c>
      <c r="AS12" s="15" t="n">
        <f aca="false">IF(Y12=1,IF(ISNUMBER(F12),1,0),IF(AI12="",0,IF(IF($U$36=1,COUNTIF($AH$6:$AK$24,"&gt;"&amp;AI12),COUNTIF($AM$6:$AP$24,"&gt;"&amp;AI12))+COUNTIF($AH$6:$AK$11,AI12)+COUNTIF($AH12:AH12,AI12)+1&lt;=$U$46,1,0)))</f>
        <v>0</v>
      </c>
      <c r="AT12" s="15" t="n">
        <f aca="false">IF(Y12=1,IF(ISNUMBER(G12),1,0),IF(AJ12="",0,IF(IF($U$36=1,COUNTIF($AH$6:$AK$24,"&gt;"&amp;AJ12),COUNTIF($AM$6:$AP$24,"&gt;"&amp;AJ12))+COUNTIF($AH$6:$AK$11,AJ12)+COUNTIF($AH12:AI12,AJ12)+1&lt;=$U$46,1,0)))</f>
        <v>0</v>
      </c>
      <c r="AU12" s="15" t="n">
        <f aca="false">IF(Y12=1,IF(ISNUMBER(H12),1,0),IF(AK12="",0,IF(IF($U$36=1,COUNTIF($AH$6:$AK$24,"&gt;"&amp;AK12),COUNTIF($AM$6:$AP$24,"&gt;"&amp;AK12))+COUNTIF($AH$6:$AK$11,AK12)+COUNTIF($AH12:AJ12,AK12)+1&lt;=$U$46,1,0)))</f>
        <v>0</v>
      </c>
      <c r="BZ12" s="15" t="n">
        <f aca="false">IFERROR(LARGE($AH$6:$AK$24,11),0)</f>
        <v>0</v>
      </c>
      <c r="CA12" s="15" t="n">
        <f aca="false">CA11+BZ12</f>
        <v>0</v>
      </c>
      <c r="CB12" s="15" t="n">
        <f aca="false">IFERROR(LARGE($AM$6:$AP$24,11),0)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IF($U$4=0,"",$U$38)</f>
        <v/>
      </c>
      <c r="N13" s="29" t="str">
        <f aca="false">IF($U$4=0,"","Formel: "&amp;FIXED($U$45,1)&amp;" / "&amp;$U$44&amp;" × 40")</f>
        <v/>
      </c>
      <c r="T13" s="15" t="s">
        <v>144</v>
      </c>
      <c r="U13" s="15" t="n">
        <f aca="false">MATCH(MAX($DH$3:$DH$11),$DH$3:$DH$11,0)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IF(Y13=1,IF(ISNUMBER(E13),1,0),IF(AH13="",0,IF(IF($U$36=1,COUNTIF($AH$6:$AK$24,"&gt;"&amp;AH13),COUNTIF($AM$6:$AP$24,"&gt;"&amp;AH13))+COUNTIF($AH$6:$AK$12,AH13)+1&lt;=$U$46,1,0)))</f>
        <v>0</v>
      </c>
      <c r="AS13" s="15" t="n">
        <f aca="false">IF(Y13=1,IF(ISNUMBER(F13),1,0),IF(AI13="",0,IF(IF($U$36=1,COUNTIF($AH$6:$AK$24,"&gt;"&amp;AI13),COUNTIF($AM$6:$AP$24,"&gt;"&amp;AI13))+COUNTIF($AH$6:$AK$12,AI13)+COUNTIF($AH13:AH13,AI13)+1&lt;=$U$46,1,0)))</f>
        <v>0</v>
      </c>
      <c r="AT13" s="15" t="n">
        <f aca="false">IF(Y13=1,IF(ISNUMBER(G13),1,0),IF(AJ13="",0,IF(IF($U$36=1,COUNTIF($AH$6:$AK$24,"&gt;"&amp;AJ13),COUNTIF($AM$6:$AP$24,"&gt;"&amp;AJ13))+COUNTIF($AH$6:$AK$12,AJ13)+COUNTIF($AH13:AI13,AJ13)+1&lt;=$U$46,1,0)))</f>
        <v>0</v>
      </c>
      <c r="AU13" s="15" t="n">
        <f aca="false">IF(Y13=1,IF(ISNUMBER(H13),1,0),IF(AK13="",0,IF(IF($U$36=1,COUNTIF($AH$6:$AK$24,"&gt;"&amp;AK13),COUNTIF($AM$6:$AP$24,"&gt;"&amp;AK13))+COUNTIF($AH$6:$AK$12,AK13)+COUNTIF($AH13:AJ13,AK13)+1&lt;=$U$46,1,0)))</f>
        <v>0</v>
      </c>
      <c r="BZ13" s="15" t="n">
        <f aca="false">IFERROR(LARGE($AH$6:$AK$24,12),0)</f>
        <v>0</v>
      </c>
      <c r="CA13" s="15" t="n">
        <f aca="false">CA12+BZ13</f>
        <v>0</v>
      </c>
      <c r="CB13" s="15" t="n">
        <f aca="false">IFERROR(LARGE($AM$6:$AP$24,12),0)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IF($U$4=0,"",$U$39)</f>
        <v/>
      </c>
      <c r="N14" s="29" t="str">
        <f aca="false">IF($U$4=0,"","erlaubt: höchstens "&amp;$U$40)</f>
        <v/>
      </c>
      <c r="T14" s="15" t="s">
        <v>147</v>
      </c>
      <c r="U14" s="15" t="n">
        <f aca="false">MATCH(MAX($DH$23:$DH$31),$DH$23:$DH$31,0)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IF(Y14=1,IF(ISNUMBER(E14),1,0),IF(AH14="",0,IF(IF($U$36=1,COUNTIF($AH$6:$AK$24,"&gt;"&amp;AH14),COUNTIF($AM$6:$AP$24,"&gt;"&amp;AH14))+COUNTIF($AH$6:$AK$13,AH14)+1&lt;=$U$46,1,0)))</f>
        <v>0</v>
      </c>
      <c r="AS14" s="15" t="n">
        <f aca="false">IF(Y14=1,IF(ISNUMBER(F14),1,0),IF(AI14="",0,IF(IF($U$36=1,COUNTIF($AH$6:$AK$24,"&gt;"&amp;AI14),COUNTIF($AM$6:$AP$24,"&gt;"&amp;AI14))+COUNTIF($AH$6:$AK$13,AI14)+COUNTIF($AH14:AH14,AI14)+1&lt;=$U$46,1,0)))</f>
        <v>0</v>
      </c>
      <c r="AT14" s="15" t="n">
        <f aca="false">IF(Y14=1,IF(ISNUMBER(G14),1,0),IF(AJ14="",0,IF(IF($U$36=1,COUNTIF($AH$6:$AK$24,"&gt;"&amp;AJ14),COUNTIF($AM$6:$AP$24,"&gt;"&amp;AJ14))+COUNTIF($AH$6:$AK$13,AJ14)+COUNTIF($AH14:AI14,AJ14)+1&lt;=$U$46,1,0)))</f>
        <v>0</v>
      </c>
      <c r="AU14" s="15" t="n">
        <f aca="false">IF(Y14=1,IF(ISNUMBER(H14),1,0),IF(AK14="",0,IF(IF($U$36=1,COUNTIF($AH$6:$AK$24,"&gt;"&amp;AK14),COUNTIF($AM$6:$AP$24,"&gt;"&amp;AK14))+COUNTIF($AH$6:$AK$13,AK14)+COUNTIF($AH14:AJ14,AK14)+1&lt;=$U$46,1,0)))</f>
        <v>0</v>
      </c>
      <c r="BZ14" s="15" t="n">
        <f aca="false">IFERROR(LARGE($AH$6:$AK$24,13),0)</f>
        <v>0</v>
      </c>
      <c r="CA14" s="15" t="n">
        <f aca="false">CA13+BZ14</f>
        <v>0</v>
      </c>
      <c r="CB14" s="15" t="n">
        <f aca="false">IFERROR(LARGE($AM$6:$AP$24,13),0)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IF($U$4=0,"","+"&amp;$U$16)</f>
        <v/>
      </c>
      <c r="N15" s="29" t="s">
        <v>150</v>
      </c>
      <c r="T15" s="15" t="s">
        <v>151</v>
      </c>
      <c r="U15" s="15" t="n">
        <f aca="false">IF(ISNUMBER($I$26),1,0)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IF(Y15=1,IF(ISNUMBER(E15),1,0),IF(AH15="",0,IF(IF($U$36=1,COUNTIF($AH$6:$AK$24,"&gt;"&amp;AH15),COUNTIF($AM$6:$AP$24,"&gt;"&amp;AH15))+COUNTIF($AH$6:$AK$14,AH15)+1&lt;=$U$46,1,0)))</f>
        <v>0</v>
      </c>
      <c r="AS15" s="15" t="n">
        <f aca="false">IF(Y15=1,IF(ISNUMBER(F15),1,0),IF(AI15="",0,IF(IF($U$36=1,COUNTIF($AH$6:$AK$24,"&gt;"&amp;AI15),COUNTIF($AM$6:$AP$24,"&gt;"&amp;AI15))+COUNTIF($AH$6:$AK$14,AI15)+COUNTIF($AH15:AH15,AI15)+1&lt;=$U$46,1,0)))</f>
        <v>0</v>
      </c>
      <c r="AT15" s="15" t="n">
        <f aca="false">IF(Y15=1,IF(ISNUMBER(G15),1,0),IF(AJ15="",0,IF(IF($U$36=1,COUNTIF($AH$6:$AK$24,"&gt;"&amp;AJ15),COUNTIF($AM$6:$AP$24,"&gt;"&amp;AJ15))+COUNTIF($AH$6:$AK$14,AJ15)+COUNTIF($AH15:AI15,AJ15)+1&lt;=$U$46,1,0)))</f>
        <v>0</v>
      </c>
      <c r="AU15" s="15" t="n">
        <f aca="false">IF(Y15=1,IF(ISNUMBER(H15),1,0),IF(AK15="",0,IF(IF($U$36=1,COUNTIF($AH$6:$AK$24,"&gt;"&amp;AK15),COUNTIF($AM$6:$AP$24,"&gt;"&amp;AK15))+COUNTIF($AH$6:$AK$14,AK15)+COUNTIF($AH15:AJ15,AK15)+1&lt;=$U$46,1,0)))</f>
        <v>0</v>
      </c>
      <c r="BZ15" s="15" t="n">
        <f aca="false">IFERROR(LARGE($AH$6:$AK$24,14),0)</f>
        <v>0</v>
      </c>
      <c r="CA15" s="15" t="n">
        <f aca="false">CA14+BZ15</f>
        <v>0</v>
      </c>
      <c r="CB15" s="15" t="n">
        <f aca="false">IFERROR(LARGE($AM$6:$AP$24,14),0)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+"&amp;FIXED(40/$U$44,2))</f>
        <v/>
      </c>
      <c r="N16" s="29" t="s">
        <v>154</v>
      </c>
      <c r="T16" s="15" t="s">
        <v>155</v>
      </c>
      <c r="U16" s="15" t="n">
        <f aca="false">IF($U$15=1,4,5)</f>
        <v>5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IF(Y16=1,IF(ISNUMBER(E16),1,0),IF(AH16="",0,IF(IF($U$36=1,COUNTIF($AH$6:$AK$24,"&gt;"&amp;AH16),COUNTIF($AM$6:$AP$24,"&gt;"&amp;AH16))+COUNTIF($AH$6:$AK$15,AH16)+1&lt;=$U$46,1,0)))</f>
        <v>0</v>
      </c>
      <c r="AS16" s="15" t="n">
        <f aca="false">IF(Y16=1,IF(ISNUMBER(F16),1,0),IF(AI16="",0,IF(IF($U$36=1,COUNTIF($AH$6:$AK$24,"&gt;"&amp;AI16),COUNTIF($AM$6:$AP$24,"&gt;"&amp;AI16))+COUNTIF($AH$6:$AK$15,AI16)+COUNTIF($AH16:AH16,AI16)+1&lt;=$U$46,1,0)))</f>
        <v>0</v>
      </c>
      <c r="AT16" s="15" t="n">
        <f aca="false">IF(Y16=1,IF(ISNUMBER(G16),1,0),IF(AJ16="",0,IF(IF($U$36=1,COUNTIF($AH$6:$AK$24,"&gt;"&amp;AJ16),COUNTIF($AM$6:$AP$24,"&gt;"&amp;AJ16))+COUNTIF($AH$6:$AK$15,AJ16)+COUNTIF($AH16:AI16,AJ16)+1&lt;=$U$46,1,0)))</f>
        <v>0</v>
      </c>
      <c r="AU16" s="15" t="n">
        <f aca="false">IF(Y16=1,IF(ISNUMBER(H16),1,0),IF(AK16="",0,IF(IF($U$36=1,COUNTIF($AH$6:$AK$24,"&gt;"&amp;AK16),COUNTIF($AM$6:$AP$24,"&gt;"&amp;AK16))+COUNTIF($AH$6:$AK$15,AK16)+COUNTIF($AH16:AJ16,AK16)+1&lt;=$U$46,1,0)))</f>
        <v>0</v>
      </c>
      <c r="BZ16" s="15" t="n">
        <f aca="false">IFERROR(LARGE($AH$6:$AK$24,15),0)</f>
        <v>0</v>
      </c>
      <c r="CA16" s="15" t="n">
        <f aca="false">CA15+BZ16</f>
        <v>0</v>
      </c>
      <c r="CB16" s="15" t="n">
        <f aca="false">IFERROR(LARGE($AM$6:$AP$24,15),0)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MIN(300,INT((SUM(BO6,BO7,BO8,BO9,BO26))+0.5+0.000000001))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IF(Y17=1,IF(ISNUMBER(E17),1,0),IF(AH17="",0,IF(IF($U$36=1,COUNTIF($AH$6:$AK$24,"&gt;"&amp;AH17),COUNTIF($AM$6:$AP$24,"&gt;"&amp;AH17))+COUNTIF($AH$6:$AK$16,AH17)+1&lt;=$U$46,1,0)))</f>
        <v>0</v>
      </c>
      <c r="AS17" s="15" t="n">
        <f aca="false">IF(Y17=1,IF(ISNUMBER(F17),1,0),IF(AI17="",0,IF(IF($U$36=1,COUNTIF($AH$6:$AK$24,"&gt;"&amp;AI17),COUNTIF($AM$6:$AP$24,"&gt;"&amp;AI17))+COUNTIF($AH$6:$AK$16,AI17)+COUNTIF($AH17:AH17,AI17)+1&lt;=$U$46,1,0)))</f>
        <v>0</v>
      </c>
      <c r="AT17" s="15" t="n">
        <f aca="false">IF(Y17=1,IF(ISNUMBER(G17),1,0),IF(AJ17="",0,IF(IF($U$36=1,COUNTIF($AH$6:$AK$24,"&gt;"&amp;AJ17),COUNTIF($AM$6:$AP$24,"&gt;"&amp;AJ17))+COUNTIF($AH$6:$AK$16,AJ17)+COUNTIF($AH17:AI17,AJ17)+1&lt;=$U$46,1,0)))</f>
        <v>0</v>
      </c>
      <c r="AU17" s="15" t="n">
        <f aca="false">IF(Y17=1,IF(ISNUMBER(H17),1,0),IF(AK17="",0,IF(IF($U$36=1,COUNTIF($AH$6:$AK$24,"&gt;"&amp;AK17),COUNTIF($AM$6:$AP$24,"&gt;"&amp;AK17))+COUNTIF($AH$6:$AK$16,AK17)+COUNTIF($AH17:AJ17,AK17)+1&lt;=$U$46,1,0)))</f>
        <v>0</v>
      </c>
      <c r="BZ17" s="15" t="n">
        <f aca="false">IFERROR(LARGE($AH$6:$AK$24,16),0)</f>
        <v>0</v>
      </c>
      <c r="CA17" s="15" t="n">
        <f aca="false">CA16+BZ17</f>
        <v>0</v>
      </c>
      <c r="CB17" s="15" t="n">
        <f aca="false">IFERROR(LARGE($AM$6:$AP$24,16),0)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SUM(BP6,BP7,BP8,BP9,BP26)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IF(Y18=1,IF(ISNUMBER(E18),1,0),IF(AH18="",0,IF(IF($U$36=1,COUNTIF($AH$6:$AK$24,"&gt;"&amp;AH18),COUNTIF($AM$6:$AP$24,"&gt;"&amp;AH18))+COUNTIF($AH$6:$AK$17,AH18)+1&lt;=$U$46,1,0)))</f>
        <v>0</v>
      </c>
      <c r="AS18" s="15" t="n">
        <f aca="false">IF(Y18=1,IF(ISNUMBER(F18),1,0),IF(AI18="",0,IF(IF($U$36=1,COUNTIF($AH$6:$AK$24,"&gt;"&amp;AI18),COUNTIF($AM$6:$AP$24,"&gt;"&amp;AI18))+COUNTIF($AH$6:$AK$17,AI18)+COUNTIF($AH18:AH18,AI18)+1&lt;=$U$46,1,0)))</f>
        <v>0</v>
      </c>
      <c r="AT18" s="15" t="n">
        <f aca="false">IF(Y18=1,IF(ISNUMBER(G18),1,0),IF(AJ18="",0,IF(IF($U$36=1,COUNTIF($AH$6:$AK$24,"&gt;"&amp;AJ18),COUNTIF($AM$6:$AP$24,"&gt;"&amp;AJ18))+COUNTIF($AH$6:$AK$17,AJ18)+COUNTIF($AH18:AI18,AJ18)+1&lt;=$U$46,1,0)))</f>
        <v>0</v>
      </c>
      <c r="AU18" s="15" t="n">
        <f aca="false">IF(Y18=1,IF(ISNUMBER(H18),1,0),IF(AK18="",0,IF(IF($U$36=1,COUNTIF($AH$6:$AK$24,"&gt;"&amp;AK18),COUNTIF($AM$6:$AP$24,"&gt;"&amp;AK18))+COUNTIF($AH$6:$AK$17,AK18)+COUNTIF($AH18:AJ18,AK18)+1&lt;=$U$46,1,0)))</f>
        <v>0</v>
      </c>
      <c r="BZ18" s="15" t="n">
        <f aca="false">IFERROR(LARGE($AH$6:$AK$24,17),0)</f>
        <v>0</v>
      </c>
      <c r="CA18" s="15" t="n">
        <f aca="false">CA17+BZ18</f>
        <v>0</v>
      </c>
      <c r="CB18" s="15" t="n">
        <f aca="false">IFERROR(LARGE($AM$6:$AP$24,17),0)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IF($U$4=0,"",IF($U$48=1,"✓ erfüllt","✗ nicht erfüllt"))</f>
        <v/>
      </c>
      <c r="N19" s="36" t="str">
        <f aca="false">IF($U$4=0,"",$U$37&amp;" Punkte")</f>
        <v/>
      </c>
      <c r="T19" s="15" t="s">
        <v>164</v>
      </c>
      <c r="U19" s="15" t="n">
        <f aca="false">BP6+BP7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IF(Y19=1,IF(ISNUMBER(E19),1,0),IF(AH19="",0,IF(IF($U$36=1,COUNTIF($AH$6:$AK$24,"&gt;"&amp;AH19),COUNTIF($AM$6:$AP$24,"&gt;"&amp;AH19))+COUNTIF($AH$6:$AK$18,AH19)+1&lt;=$U$46,1,0)))</f>
        <v>0</v>
      </c>
      <c r="AS19" s="15" t="n">
        <f aca="false">IF(Y19=1,IF(ISNUMBER(F19),1,0),IF(AI19="",0,IF(IF($U$36=1,COUNTIF($AH$6:$AK$24,"&gt;"&amp;AI19),COUNTIF($AM$6:$AP$24,"&gt;"&amp;AI19))+COUNTIF($AH$6:$AK$18,AI19)+COUNTIF($AH19:AH19,AI19)+1&lt;=$U$46,1,0)))</f>
        <v>0</v>
      </c>
      <c r="AT19" s="15" t="n">
        <f aca="false">IF(Y19=1,IF(ISNUMBER(G19),1,0),IF(AJ19="",0,IF(IF($U$36=1,COUNTIF($AH$6:$AK$24,"&gt;"&amp;AJ19),COUNTIF($AM$6:$AP$24,"&gt;"&amp;AJ19))+COUNTIF($AH$6:$AK$18,AJ19)+COUNTIF($AH19:AI19,AJ19)+1&lt;=$U$46,1,0)))</f>
        <v>0</v>
      </c>
      <c r="AU19" s="15" t="n">
        <f aca="false">IF(Y19=1,IF(ISNUMBER(H19),1,0),IF(AK19="",0,IF(IF($U$36=1,COUNTIF($AH$6:$AK$24,"&gt;"&amp;AK19),COUNTIF($AM$6:$AP$24,"&gt;"&amp;AK19))+COUNTIF($AH$6:$AK$18,AK19)+COUNTIF($AH19:AJ19,AK19)+1&lt;=$U$46,1,0)))</f>
        <v>0</v>
      </c>
      <c r="BZ19" s="15" t="n">
        <f aca="false">IFERROR(LARGE($AH$6:$AK$24,18),0)</f>
        <v>0</v>
      </c>
      <c r="CA19" s="15" t="n">
        <f aca="false">CA18+BZ19</f>
        <v>0</v>
      </c>
      <c r="CB19" s="15" t="n">
        <f aca="false">IFERROR(LARGE($AM$6:$AP$24,18),0)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"&amp;$U$40&amp;" Unterkurse (unter 5 Punkten)"</f>
        <v>Höchstens 6 Unterkurse (unter 5 Punkten)</v>
      </c>
      <c r="M20" s="43" t="str">
        <f aca="false">IF($U$4=0,"",IF($U$49=1,"✓ erfüllt","✗ nicht erfüllt"))</f>
        <v/>
      </c>
      <c r="N20" s="36" t="str">
        <f aca="false">IF($U$4=0,"",$U$39&amp;" Unterkurse")</f>
        <v/>
      </c>
      <c r="T20" s="15" t="s">
        <v>166</v>
      </c>
      <c r="U20" s="15" t="n">
        <f aca="false">BQ6+BQ7+BQ8+BQ9+BQ26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IF(Y20=1,IF(ISNUMBER(E20),1,0),IF(AH20="",0,IF(IF($U$36=1,COUNTIF($AH$6:$AK$24,"&gt;"&amp;AH20),COUNTIF($AM$6:$AP$24,"&gt;"&amp;AH20))+COUNTIF($AH$6:$AK$19,AH20)+1&lt;=$U$46,1,0)))</f>
        <v>0</v>
      </c>
      <c r="AS20" s="15" t="n">
        <f aca="false">IF(Y20=1,IF(ISNUMBER(F20),1,0),IF(AI20="",0,IF(IF($U$36=1,COUNTIF($AH$6:$AK$24,"&gt;"&amp;AI20),COUNTIF($AM$6:$AP$24,"&gt;"&amp;AI20))+COUNTIF($AH$6:$AK$19,AI20)+COUNTIF($AH20:AH20,AI20)+1&lt;=$U$46,1,0)))</f>
        <v>0</v>
      </c>
      <c r="AT20" s="15" t="n">
        <f aca="false">IF(Y20=1,IF(ISNUMBER(G20),1,0),IF(AJ20="",0,IF(IF($U$36=1,COUNTIF($AH$6:$AK$24,"&gt;"&amp;AJ20),COUNTIF($AM$6:$AP$24,"&gt;"&amp;AJ20))+COUNTIF($AH$6:$AK$19,AJ20)+COUNTIF($AH20:AI20,AJ20)+1&lt;=$U$46,1,0)))</f>
        <v>0</v>
      </c>
      <c r="AU20" s="15" t="n">
        <f aca="false">IF(Y20=1,IF(ISNUMBER(H20),1,0),IF(AK20="",0,IF(IF($U$36=1,COUNTIF($AH$6:$AK$24,"&gt;"&amp;AK20),COUNTIF($AM$6:$AP$24,"&gt;"&amp;AK20))+COUNTIF($AH$6:$AK$19,AK20)+COUNTIF($AH20:AJ20,AK20)+1&lt;=$U$46,1,0)))</f>
        <v>0</v>
      </c>
      <c r="BZ20" s="15" t="n">
        <f aca="false">IFERROR(LARGE($AH$6:$AK$24,19),0)</f>
        <v>0</v>
      </c>
      <c r="CA20" s="15" t="n">
        <f aca="false">CA19+BZ20</f>
        <v>0</v>
      </c>
      <c r="CB20" s="15" t="n">
        <f aca="false">IFERROR(LARGE($AM$6:$AP$24,19),0)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IF($U$4=0,"",IF($U$54=1,"✓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BR6+BR7+BR8+BR9+BR26</f>
        <v>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IF(Y21=1,IF(ISNUMBER(E21),1,0),IF(AH21="",0,IF(IF($U$36=1,COUNTIF($AH$6:$AK$24,"&gt;"&amp;AH21),COUNTIF($AM$6:$AP$24,"&gt;"&amp;AH21))+COUNTIF($AH$6:$AK$20,AH21)+1&lt;=$U$46,1,0)))</f>
        <v>0</v>
      </c>
      <c r="AS21" s="15" t="n">
        <f aca="false">IF(Y21=1,IF(ISNUMBER(F21),1,0),IF(AI21="",0,IF(IF($U$36=1,COUNTIF($AH$6:$AK$24,"&gt;"&amp;AI21),COUNTIF($AM$6:$AP$24,"&gt;"&amp;AI21))+COUNTIF($AH$6:$AK$20,AI21)+COUNTIF($AH21:AH21,AI21)+1&lt;=$U$46,1,0)))</f>
        <v>0</v>
      </c>
      <c r="AT21" s="15" t="n">
        <f aca="false">IF(Y21=1,IF(ISNUMBER(G21),1,0),IF(AJ21="",0,IF(IF($U$36=1,COUNTIF($AH$6:$AK$24,"&gt;"&amp;AJ21),COUNTIF($AM$6:$AP$24,"&gt;"&amp;AJ21))+COUNTIF($AH$6:$AK$20,AJ21)+COUNTIF($AH21:AI21,AJ21)+1&lt;=$U$46,1,0)))</f>
        <v>0</v>
      </c>
      <c r="AU21" s="15" t="n">
        <f aca="false">IF(Y21=1,IF(ISNUMBER(H21),1,0),IF(AK21="",0,IF(IF($U$36=1,COUNTIF($AH$6:$AK$24,"&gt;"&amp;AK21),COUNTIF($AM$6:$AP$24,"&gt;"&amp;AK21))+COUNTIF($AH$6:$AK$20,AK21)+COUNTIF($AH21:AJ21,AK21)+1&lt;=$U$46,1,0)))</f>
        <v>0</v>
      </c>
      <c r="BZ21" s="15" t="n">
        <f aca="false">IFERROR(LARGE($AH$6:$AK$24,20),0)</f>
        <v>0</v>
      </c>
      <c r="CA21" s="15" t="n">
        <f aca="false">CA20+BZ21</f>
        <v>0</v>
      </c>
      <c r="CB21" s="15" t="n">
        <f aca="false">IFERROR(LARGE($AM$6:$AP$24,20),0)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IF($U$4=0,"",IF($U$57=1,"✓ erfüllt","✗ nicht erfüllt"))</f>
        <v/>
      </c>
      <c r="N22" s="36"/>
      <c r="T22" s="15" t="s">
        <v>172</v>
      </c>
      <c r="U22" s="15" t="n">
        <f aca="false">MIN(300,INT((SUM(BU6,BU7,BU8,BU9,BU26))+0.5+0.000000001))</f>
        <v>140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IF(Y22=1,IF(ISNUMBER(E22),1,0),IF(AH22="",0,IF(IF($U$36=1,COUNTIF($AH$6:$AK$24,"&gt;"&amp;AH22),COUNTIF($AM$6:$AP$24,"&gt;"&amp;AH22))+COUNTIF($AH$6:$AK$21,AH22)+1&lt;=$U$46,1,0)))</f>
        <v>0</v>
      </c>
      <c r="AS22" s="15" t="n">
        <f aca="false">IF(Y22=1,IF(ISNUMBER(F22),1,0),IF(AI22="",0,IF(IF($U$36=1,COUNTIF($AH$6:$AK$24,"&gt;"&amp;AI22),COUNTIF($AM$6:$AP$24,"&gt;"&amp;AI22))+COUNTIF($AH$6:$AK$21,AI22)+COUNTIF($AH22:AH22,AI22)+1&lt;=$U$46,1,0)))</f>
        <v>0</v>
      </c>
      <c r="AT22" s="15" t="n">
        <f aca="false">IF(Y22=1,IF(ISNUMBER(G22),1,0),IF(AJ22="",0,IF(IF($U$36=1,COUNTIF($AH$6:$AK$24,"&gt;"&amp;AJ22),COUNTIF($AM$6:$AP$24,"&gt;"&amp;AJ22))+COUNTIF($AH$6:$AK$21,AJ22)+COUNTIF($AH22:AI22,AJ22)+1&lt;=$U$46,1,0)))</f>
        <v>0</v>
      </c>
      <c r="AU22" s="15" t="n">
        <f aca="false">IF(Y22=1,IF(ISNUMBER(H22),1,0),IF(AK22="",0,IF(IF($U$36=1,COUNTIF($AH$6:$AK$24,"&gt;"&amp;AK22),COUNTIF($AM$6:$AP$24,"&gt;"&amp;AK22))+COUNTIF($AH$6:$AK$21,AK22)+COUNTIF($AH22:AJ22,AK22)+1&lt;=$U$46,1,0)))</f>
        <v>0</v>
      </c>
      <c r="BZ22" s="15" t="n">
        <f aca="false">IFERROR(LARGE($AH$6:$AK$24,21),0)</f>
        <v>0</v>
      </c>
      <c r="CA22" s="15" t="n">
        <f aca="false">CA21+BZ22</f>
        <v>0</v>
      </c>
      <c r="CB22" s="15" t="n">
        <f aca="false">IFERROR(LARGE($AM$6:$AP$24,21),0)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IF($U$4=0,"",IF($U$62=1,"✓ erfüllt","✗ nicht erfüllt"))</f>
        <v/>
      </c>
      <c r="N23" s="36" t="str">
        <f aca="false">IF($U$4=0,"",$U$60&amp;" Punkte")</f>
        <v/>
      </c>
      <c r="T23" s="15" t="s">
        <v>175</v>
      </c>
      <c r="U23" s="15" t="n">
        <f aca="false">SUM(BV6,BV7,BV8,BV9,BV26)</f>
        <v>4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IF(Y23=1,IF(ISNUMBER(E23),1,0),IF(AH23="",0,IF(IF($U$36=1,COUNTIF($AH$6:$AK$24,"&gt;"&amp;AH23),COUNTIF($AM$6:$AP$24,"&gt;"&amp;AH23))+COUNTIF($AH$6:$AK$22,AH23)+1&lt;=$U$46,1,0)))</f>
        <v>0</v>
      </c>
      <c r="AS23" s="15" t="n">
        <f aca="false">IF(Y23=1,IF(ISNUMBER(F23),1,0),IF(AI23="",0,IF(IF($U$36=1,COUNTIF($AH$6:$AK$24,"&gt;"&amp;AI23),COUNTIF($AM$6:$AP$24,"&gt;"&amp;AI23))+COUNTIF($AH$6:$AK$22,AI23)+COUNTIF($AH23:AH23,AI23)+1&lt;=$U$46,1,0)))</f>
        <v>0</v>
      </c>
      <c r="AT23" s="15" t="n">
        <f aca="false">IF(Y23=1,IF(ISNUMBER(G23),1,0),IF(AJ23="",0,IF(IF($U$36=1,COUNTIF($AH$6:$AK$24,"&gt;"&amp;AJ23),COUNTIF($AM$6:$AP$24,"&gt;"&amp;AJ23))+COUNTIF($AH$6:$AK$22,AJ23)+COUNTIF($AH23:AI23,AJ23)+1&lt;=$U$46,1,0)))</f>
        <v>0</v>
      </c>
      <c r="AU23" s="15" t="n">
        <f aca="false">IF(Y23=1,IF(ISNUMBER(H23),1,0),IF(AK23="",0,IF(IF($U$36=1,COUNTIF($AH$6:$AK$24,"&gt;"&amp;AK23),COUNTIF($AM$6:$AP$24,"&gt;"&amp;AK23))+COUNTIF($AH$6:$AK$22,AK23)+COUNTIF($AH23:AJ23,AK23)+1&lt;=$U$46,1,0)))</f>
        <v>0</v>
      </c>
      <c r="BZ23" s="15" t="n">
        <f aca="false">IFERROR(LARGE($AH$6:$AK$24,22),0)</f>
        <v>0</v>
      </c>
      <c r="CA23" s="15" t="n">
        <f aca="false">CA22+BZ23</f>
        <v>0</v>
      </c>
      <c r="CB23" s="15" t="n">
        <f aca="false">IFERROR(LARGE($AM$6:$AP$24,22),0)</f>
        <v>0</v>
      </c>
      <c r="CC23" s="15" t="n">
        <f aca="false">CC22+CB23</f>
        <v>0</v>
      </c>
      <c r="CE23" s="15" t="n">
        <f aca="false">32</f>
        <v>32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32</v>
      </c>
      <c r="CL23" s="15" t="n">
        <f aca="false">2*BE6+2*BF6+2*BE7+2*BF7</f>
        <v>112</v>
      </c>
      <c r="CM23" s="15" t="n">
        <f aca="false">2*BG6+2*BH6+2*BG7+2*BH7+1*BG8+1*BH8+1*BG9+1*BH9+SUM($AE$11:$AE$24)</f>
        <v>24</v>
      </c>
      <c r="CN23" s="15" t="n">
        <f aca="false">IF(CH23=0,0,INDEX($CC$2:$CC$57,CH23))</f>
        <v>0</v>
      </c>
      <c r="CO23" s="15" t="n">
        <f aca="false">CL23+$V$11+CN23+CJ23*$U$2</f>
        <v>280</v>
      </c>
      <c r="CP23" s="15" t="n">
        <f aca="false">CM23+CH23+CJ23</f>
        <v>40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IF(CK23&lt;32,6,IF(CK23&gt;40,8,CHOOSE(CK23-31,6,6,6,7,7,7,7,7,8)))</f>
        <v>6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1028068</v>
      </c>
    </row>
    <row r="24" customFormat="false" ht="22.3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"&amp;$U$27&amp;" Prüfungen mindestens 5 Punkte (einfach), davon eine im 1./2. Prüfungsfach"</f>
        <v>In mindestens 2 Prüfungen mindestens 5 Punkte (einfach), davon eine im 1./2. Prüfungsfach</v>
      </c>
      <c r="M24" s="43" t="str">
        <f aca="false">IF($U$4=0,"",IF($U$63=1,"✓ erfüllt","✗ nicht erfüllt"))</f>
        <v/>
      </c>
      <c r="N24" s="36" t="str">
        <f aca="false">IF($U$4=0,"",$U$61&amp;" Prüfungen")</f>
        <v/>
      </c>
      <c r="T24" s="15" t="s">
        <v>177</v>
      </c>
      <c r="U24" s="15" t="n">
        <f aca="false">BV6+BV7</f>
        <v>2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IF(Y24=1,IF(ISNUMBER(E24),1,0),IF(AH24="",0,IF(IF($U$36=1,COUNTIF($AH$6:$AK$24,"&gt;"&amp;AH24),COUNTIF($AM$6:$AP$24,"&gt;"&amp;AH24))+COUNTIF($AH$6:$AK$23,AH24)+1&lt;=$U$46,1,0)))</f>
        <v>0</v>
      </c>
      <c r="AS24" s="15" t="n">
        <f aca="false">IF(Y24=1,IF(ISNUMBER(F24),1,0),IF(AI24="",0,IF(IF($U$36=1,COUNTIF($AH$6:$AK$24,"&gt;"&amp;AI24),COUNTIF($AM$6:$AP$24,"&gt;"&amp;AI24))+COUNTIF($AH$6:$AK$23,AI24)+COUNTIF($AH24:AH24,AI24)+1&lt;=$U$46,1,0)))</f>
        <v>0</v>
      </c>
      <c r="AT24" s="15" t="n">
        <f aca="false">IF(Y24=1,IF(ISNUMBER(G24),1,0),IF(AJ24="",0,IF(IF($U$36=1,COUNTIF($AH$6:$AK$24,"&gt;"&amp;AJ24),COUNTIF($AM$6:$AP$24,"&gt;"&amp;AJ24))+COUNTIF($AH$6:$AK$23,AJ24)+COUNTIF($AH24:AI24,AJ24)+1&lt;=$U$46,1,0)))</f>
        <v>0</v>
      </c>
      <c r="AU24" s="15" t="n">
        <f aca="false">IF(Y24=1,IF(ISNUMBER(H24),1,0),IF(AK24="",0,IF(IF($U$36=1,COUNTIF($AH$6:$AK$24,"&gt;"&amp;AK24),COUNTIF($AM$6:$AP$24,"&gt;"&amp;AK24))+COUNTIF($AH$6:$AK$23,AK24)+COUNTIF($AH24:AJ24,AK24)+1&lt;=$U$46,1,0)))</f>
        <v>0</v>
      </c>
      <c r="BZ24" s="15" t="n">
        <f aca="false">IFERROR(LARGE($AH$6:$AK$24,23),0)</f>
        <v>0</v>
      </c>
      <c r="CA24" s="15" t="n">
        <f aca="false">CA23+BZ24</f>
        <v>0</v>
      </c>
      <c r="CB24" s="15" t="n">
        <f aca="false">IFERROR(LARGE($AM$6:$AP$24,23),0)</f>
        <v>0</v>
      </c>
      <c r="CC24" s="15" t="n">
        <f aca="false">CC23+CB24</f>
        <v>0</v>
      </c>
      <c r="CE24" s="15" t="n">
        <f aca="false">33</f>
        <v>33</v>
      </c>
      <c r="CF24" s="15" t="n">
        <f aca="false">CE24-$V$5-$V$6-0</f>
        <v>17</v>
      </c>
      <c r="CG24" s="15" t="n">
        <f aca="false">MAX(0,CF24)</f>
        <v>17</v>
      </c>
      <c r="CH24" s="15" t="n">
        <f aca="false">MIN(CG24,$V$7)</f>
        <v>0</v>
      </c>
      <c r="CI24" s="15" t="n">
        <f aca="false">0</f>
        <v>0</v>
      </c>
      <c r="CJ24" s="15" t="n">
        <f aca="false">CG24-CH24</f>
        <v>17</v>
      </c>
      <c r="CK24" s="15" t="n">
        <f aca="false">$V$5+CH24+CJ24</f>
        <v>33</v>
      </c>
      <c r="CL24" s="15" t="n">
        <f aca="false">2*BE6+2*BF6+2*BE7+2*BF7</f>
        <v>112</v>
      </c>
      <c r="CM24" s="15" t="n">
        <f aca="false">2*BG6+2*BH6+2*BG7+2*BH7+1*BG8+1*BH8+1*BG9+1*BH9+SUM($AE$11:$AE$24)</f>
        <v>24</v>
      </c>
      <c r="CN24" s="15" t="n">
        <f aca="false">IF(CH24=0,0,INDEX($CC$2:$CC$57,CH24))</f>
        <v>0</v>
      </c>
      <c r="CO24" s="15" t="n">
        <f aca="false">CL24+$V$11+CN24+CJ24*$U$2</f>
        <v>287</v>
      </c>
      <c r="CP24" s="15" t="n">
        <f aca="false">CM24+CH24+CJ24</f>
        <v>41</v>
      </c>
      <c r="CQ24" s="15" t="n">
        <f aca="false">IF(CP24&gt;0,MIN(600,INT((CO24/CP24*40)+0.5+0.000000001)),0)</f>
        <v>280</v>
      </c>
      <c r="CR24" s="15" t="n">
        <f aca="false">$V$9+CT24</f>
        <v>0</v>
      </c>
      <c r="CS24" s="15" t="n">
        <f aca="false">IF(CK24&lt;32,6,IF(CK24&gt;40,8,CHOOSE(CK24-31,6,6,6,7,7,7,7,7,8)))</f>
        <v>6</v>
      </c>
      <c r="CT24" s="15" t="n">
        <f aca="false">$V$10+MAX(0,CH24-$V$8)+CJ24*IF($U$2&lt;5,1,0)</f>
        <v>0</v>
      </c>
      <c r="CU24" s="15" t="n">
        <f aca="false">$V$11+CN24+CJ24*$U$2</f>
        <v>175</v>
      </c>
      <c r="CV24" s="15" t="n">
        <f aca="false">IF(CQ24&gt;=200,1,0)</f>
        <v>1</v>
      </c>
      <c r="CW24" s="15" t="n">
        <f aca="false">IF(CR24&lt;=CS24,1,0)</f>
        <v>1</v>
      </c>
      <c r="CX24" s="15" t="n">
        <f aca="false">1</f>
        <v>1</v>
      </c>
      <c r="CY24" s="15" t="n">
        <f aca="false">1</f>
        <v>1</v>
      </c>
      <c r="CZ24" s="15" t="n">
        <f aca="false">1</f>
        <v>1</v>
      </c>
      <c r="DA24" s="15" t="n">
        <f aca="false">1</f>
        <v>1</v>
      </c>
      <c r="DB24" s="15" t="n">
        <f aca="false">IF($U$12=0,1,0)</f>
        <v>1</v>
      </c>
      <c r="DC24" s="15" t="n">
        <f aca="false">1</f>
        <v>1</v>
      </c>
      <c r="DD24" s="15" t="n">
        <f aca="false">1</f>
        <v>1</v>
      </c>
      <c r="DE24" s="15" t="n">
        <f aca="false">IF(CF24&lt;0,0,1)</f>
        <v>1</v>
      </c>
      <c r="DF24" s="15" t="n">
        <f aca="false">IF(CV24*CW24*CX24*CY24*CZ24*DA24*DB24*DC24*DD24*DE24=1,1,0)</f>
        <v>1</v>
      </c>
      <c r="DG24" s="15" t="n">
        <f aca="false">$V$6+CI24</f>
        <v>0</v>
      </c>
      <c r="DH24" s="15" t="n">
        <f aca="false">DF24*1000000+CQ24*100+(100-CK24)</f>
        <v>1028067</v>
      </c>
    </row>
    <row r="25" customFormat="false" ht="15" hidden="false" customHeight="false" outlineLevel="0" collapsed="false">
      <c r="L25" s="42" t="s">
        <v>178</v>
      </c>
      <c r="M25" s="43" t="str">
        <f aca="false">IF($U$4=0,"",IF($U$66=1,"✓ erfüllt","✗ nicht erfüllt"))</f>
        <v/>
      </c>
      <c r="N25" s="36" t="str">
        <f aca="false">IF($U$4=0,"",$U$65&amp;" Punkte")</f>
        <v/>
      </c>
      <c r="T25" s="15" t="s">
        <v>179</v>
      </c>
      <c r="U25" s="15" t="n">
        <f aca="false">BW6+BW7+BW8+BW9+BW26</f>
        <v>0</v>
      </c>
      <c r="BZ25" s="15" t="n">
        <f aca="false">IFERROR(LARGE($AH$6:$AK$24,24),0)</f>
        <v>0</v>
      </c>
      <c r="CA25" s="15" t="n">
        <f aca="false">CA24+BZ25</f>
        <v>0</v>
      </c>
      <c r="CB25" s="15" t="n">
        <f aca="false">IFERROR(LARGE($AM$6:$AP$24,24),0)</f>
        <v>0</v>
      </c>
      <c r="CC25" s="15" t="n">
        <f aca="false">CC24+CB25</f>
        <v>0</v>
      </c>
      <c r="CE25" s="15" t="n">
        <f aca="false">34</f>
        <v>34</v>
      </c>
      <c r="CF25" s="15" t="n">
        <f aca="false">CE25-$V$5-$V$6-0</f>
        <v>18</v>
      </c>
      <c r="CG25" s="15" t="n">
        <f aca="false">MAX(0,CF25)</f>
        <v>18</v>
      </c>
      <c r="CH25" s="15" t="n">
        <f aca="false">MIN(CG25,$V$7)</f>
        <v>0</v>
      </c>
      <c r="CI25" s="15" t="n">
        <f aca="false">0</f>
        <v>0</v>
      </c>
      <c r="CJ25" s="15" t="n">
        <f aca="false">CG25-CH25</f>
        <v>18</v>
      </c>
      <c r="CK25" s="15" t="n">
        <f aca="false">$V$5+CH25+CJ25</f>
        <v>34</v>
      </c>
      <c r="CL25" s="15" t="n">
        <f aca="false">2*BE6+2*BF6+2*BE7+2*BF7</f>
        <v>112</v>
      </c>
      <c r="CM25" s="15" t="n">
        <f aca="false">2*BG6+2*BH6+2*BG7+2*BH7+1*BG8+1*BH8+1*BG9+1*BH9+SUM($AE$11:$AE$24)</f>
        <v>24</v>
      </c>
      <c r="CN25" s="15" t="n">
        <f aca="false">IF(CH25=0,0,INDEX($CC$2:$CC$57,CH25))</f>
        <v>0</v>
      </c>
      <c r="CO25" s="15" t="n">
        <f aca="false">CL25+$V$11+CN25+CJ25*$U$2</f>
        <v>294</v>
      </c>
      <c r="CP25" s="15" t="n">
        <f aca="false">CM25+CH25+CJ25</f>
        <v>42</v>
      </c>
      <c r="CQ25" s="15" t="n">
        <f aca="false">IF(CP25&gt;0,MIN(600,INT((CO25/CP25*40)+0.5+0.000000001)),0)</f>
        <v>280</v>
      </c>
      <c r="CR25" s="15" t="n">
        <f aca="false">$V$9+CT25</f>
        <v>0</v>
      </c>
      <c r="CS25" s="15" t="n">
        <f aca="false">IF(CK25&lt;32,6,IF(CK25&gt;40,8,CHOOSE(CK25-31,6,6,6,7,7,7,7,7,8)))</f>
        <v>6</v>
      </c>
      <c r="CT25" s="15" t="n">
        <f aca="false">$V$10+MAX(0,CH25-$V$8)+CJ25*IF($U$2&lt;5,1,0)</f>
        <v>0</v>
      </c>
      <c r="CU25" s="15" t="n">
        <f aca="false">$V$11+CN25+CJ25*$U$2</f>
        <v>182</v>
      </c>
      <c r="CV25" s="15" t="n">
        <f aca="false">IF(CQ25&gt;=200,1,0)</f>
        <v>1</v>
      </c>
      <c r="CW25" s="15" t="n">
        <f aca="false">IF(CR25&lt;=CS25,1,0)</f>
        <v>1</v>
      </c>
      <c r="CX25" s="15" t="n">
        <f aca="false">1</f>
        <v>1</v>
      </c>
      <c r="CY25" s="15" t="n">
        <f aca="false">1</f>
        <v>1</v>
      </c>
      <c r="CZ25" s="15" t="n">
        <f aca="false">1</f>
        <v>1</v>
      </c>
      <c r="DA25" s="15" t="n">
        <f aca="false">1</f>
        <v>1</v>
      </c>
      <c r="DB25" s="15" t="n">
        <f aca="false">IF($U$12=0,1,0)</f>
        <v>1</v>
      </c>
      <c r="DC25" s="15" t="n">
        <f aca="false">1</f>
        <v>1</v>
      </c>
      <c r="DD25" s="15" t="n">
        <f aca="false">1</f>
        <v>1</v>
      </c>
      <c r="DE25" s="15" t="n">
        <f aca="false">IF(CF25&lt;0,0,1)</f>
        <v>1</v>
      </c>
      <c r="DF25" s="15" t="n">
        <f aca="false">IF(CV25*CW25*CX25*CY25*CZ25*DA25*DB25*DC25*DD25*DE25=1,1,0)</f>
        <v>1</v>
      </c>
      <c r="DG25" s="15" t="n">
        <f aca="false">$V$6+CI25</f>
        <v>0</v>
      </c>
      <c r="DH25" s="15" t="n">
        <f aca="false">DF25*1000000+CQ25*100+(100-CK25)</f>
        <v>1028066</v>
      </c>
    </row>
    <row r="26" customFormat="false" ht="30" hidden="false" customHeight="true" outlineLevel="0" collapsed="false">
      <c r="B26" s="21" t="s">
        <v>180</v>
      </c>
      <c r="C26" s="37"/>
      <c r="I26" s="25"/>
      <c r="J26" s="44" t="s">
        <v>181</v>
      </c>
      <c r="T26" s="15" t="s">
        <v>182</v>
      </c>
      <c r="U26" s="15" t="n">
        <f aca="false">BX6+BX7+BX8+BX9+BX26</f>
        <v>0</v>
      </c>
      <c r="BN26" s="15" t="str">
        <f aca="false">IF(ISNUMBER($I$26),$I$26,"")</f>
        <v/>
      </c>
      <c r="BO26" s="15" t="str">
        <f aca="false">IF(BN26="","",BN26*$U$16)</f>
        <v/>
      </c>
      <c r="BP26" s="15" t="n">
        <f aca="false">IF(BO26="",0,IF(BO26&gt;=5*$U$16-0.000000001,1,0))</f>
        <v>0</v>
      </c>
      <c r="BQ26" s="15" t="n">
        <f aca="false">IF(BO26="",0,IF(BO26&lt;0.000000001,1,0))</f>
        <v>0</v>
      </c>
      <c r="BR26" s="15" t="n">
        <f aca="false">0</f>
        <v>0</v>
      </c>
      <c r="BT26" s="15" t="str">
        <f aca="false">IF(ISNUMBER($I$26),$I$26,"")</f>
        <v/>
      </c>
      <c r="BU26" s="15" t="str">
        <f aca="false">IF(BT26="","",BT26*$U$16)</f>
        <v/>
      </c>
      <c r="BV26" s="15" t="n">
        <f aca="false">IF(BU26="",0,IF(BU26&gt;=5*$U$16-0.000000001,1,0))</f>
        <v>0</v>
      </c>
      <c r="BW26" s="15" t="n">
        <f aca="false">IF(BU26="",0,IF(BU26&lt;0.000000001,1,0))</f>
        <v>0</v>
      </c>
      <c r="BX26" s="15" t="n">
        <f aca="false">0</f>
        <v>0</v>
      </c>
      <c r="BZ26" s="15" t="n">
        <f aca="false">IFERROR(LARGE($AH$6:$AK$24,25),0)</f>
        <v>0</v>
      </c>
      <c r="CA26" s="15" t="n">
        <f aca="false">CA25+BZ26</f>
        <v>0</v>
      </c>
      <c r="CB26" s="15" t="n">
        <f aca="false">IFERROR(LARGE($AM$6:$AP$24,25),0)</f>
        <v>0</v>
      </c>
      <c r="CC26" s="15" t="n">
        <f aca="false">CC25+CB26</f>
        <v>0</v>
      </c>
      <c r="CE26" s="15" t="n">
        <f aca="false">35</f>
        <v>35</v>
      </c>
      <c r="CF26" s="15" t="n">
        <f aca="false">CE26-$V$5-$V$6-0</f>
        <v>19</v>
      </c>
      <c r="CG26" s="15" t="n">
        <f aca="false">MAX(0,CF26)</f>
        <v>19</v>
      </c>
      <c r="CH26" s="15" t="n">
        <f aca="false">MIN(CG26,$V$7)</f>
        <v>0</v>
      </c>
      <c r="CI26" s="15" t="n">
        <f aca="false">0</f>
        <v>0</v>
      </c>
      <c r="CJ26" s="15" t="n">
        <f aca="false">CG26-CH26</f>
        <v>19</v>
      </c>
      <c r="CK26" s="15" t="n">
        <f aca="false">$V$5+CH26+CJ26</f>
        <v>35</v>
      </c>
      <c r="CL26" s="15" t="n">
        <f aca="false">2*BE6+2*BF6+2*BE7+2*BF7</f>
        <v>112</v>
      </c>
      <c r="CM26" s="15" t="n">
        <f aca="false">2*BG6+2*BH6+2*BG7+2*BH7+1*BG8+1*BH8+1*BG9+1*BH9+SUM($AE$11:$AE$24)</f>
        <v>24</v>
      </c>
      <c r="CN26" s="15" t="n">
        <f aca="false">IF(CH26=0,0,INDEX($CC$2:$CC$57,CH26))</f>
        <v>0</v>
      </c>
      <c r="CO26" s="15" t="n">
        <f aca="false">CL26+$V$11+CN26+CJ26*$U$2</f>
        <v>301</v>
      </c>
      <c r="CP26" s="15" t="n">
        <f aca="false">CM26+CH26+CJ26</f>
        <v>43</v>
      </c>
      <c r="CQ26" s="15" t="n">
        <f aca="false">IF(CP26&gt;0,MIN(600,INT((CO26/CP26*40)+0.5+0.000000001)),0)</f>
        <v>280</v>
      </c>
      <c r="CR26" s="15" t="n">
        <f aca="false">$V$9+CT26</f>
        <v>0</v>
      </c>
      <c r="CS26" s="15" t="n">
        <f aca="false">IF(CK26&lt;32,6,IF(CK26&gt;40,8,CHOOSE(CK26-31,6,6,6,7,7,7,7,7,8)))</f>
        <v>7</v>
      </c>
      <c r="CT26" s="15" t="n">
        <f aca="false">$V$10+MAX(0,CH26-$V$8)+CJ26*IF($U$2&lt;5,1,0)</f>
        <v>0</v>
      </c>
      <c r="CU26" s="15" t="n">
        <f aca="false">$V$11+CN26+CJ26*$U$2</f>
        <v>189</v>
      </c>
      <c r="CV26" s="15" t="n">
        <f aca="false">IF(CQ26&gt;=200,1,0)</f>
        <v>1</v>
      </c>
      <c r="CW26" s="15" t="n">
        <f aca="false">IF(CR26&lt;=CS26,1,0)</f>
        <v>1</v>
      </c>
      <c r="CX26" s="15" t="n">
        <f aca="false">1</f>
        <v>1</v>
      </c>
      <c r="CY26" s="15" t="n">
        <f aca="false">1</f>
        <v>1</v>
      </c>
      <c r="CZ26" s="15" t="n">
        <f aca="false">1</f>
        <v>1</v>
      </c>
      <c r="DA26" s="15" t="n">
        <f aca="false">1</f>
        <v>1</v>
      </c>
      <c r="DB26" s="15" t="n">
        <f aca="false">IF($U$12=0,1,0)</f>
        <v>1</v>
      </c>
      <c r="DC26" s="15" t="n">
        <f aca="false">1</f>
        <v>1</v>
      </c>
      <c r="DD26" s="15" t="n">
        <f aca="false">1</f>
        <v>1</v>
      </c>
      <c r="DE26" s="15" t="n">
        <f aca="false">IF(CF26&lt;0,0,1)</f>
        <v>1</v>
      </c>
      <c r="DF26" s="15" t="n">
        <f aca="false">IF(CV26*CW26*CX26*CY26*CZ26*DA26*DB26*DC26*DD26*DE26=1,1,0)</f>
        <v>1</v>
      </c>
      <c r="DG26" s="15" t="n">
        <f aca="false">$V$6+CI26</f>
        <v>0</v>
      </c>
      <c r="DH26" s="15" t="n">
        <f aca="false">DF26*1000000+CQ26*100+(100-CK26)</f>
        <v>1028065</v>
      </c>
    </row>
    <row r="27" customFormat="false" ht="15" hidden="false" customHeight="false" outlineLevel="0" collapsed="false">
      <c r="L27" s="45" t="s">
        <v>183</v>
      </c>
      <c r="T27" s="15" t="s">
        <v>184</v>
      </c>
      <c r="U27" s="15" t="n">
        <f aca="false">2</f>
        <v>2</v>
      </c>
      <c r="BZ27" s="15" t="n">
        <f aca="false">IFERROR(LARGE($AH$6:$AK$24,26),0)</f>
        <v>0</v>
      </c>
      <c r="CA27" s="15" t="n">
        <f aca="false">CA26+BZ27</f>
        <v>0</v>
      </c>
      <c r="CB27" s="15" t="n">
        <f aca="false">IFERROR(LARGE($AM$6:$AP$24,26),0)</f>
        <v>0</v>
      </c>
      <c r="CC27" s="15" t="n">
        <f aca="false">CC26+CB27</f>
        <v>0</v>
      </c>
      <c r="CE27" s="15" t="n">
        <f aca="false">36</f>
        <v>36</v>
      </c>
      <c r="CF27" s="15" t="n">
        <f aca="false">CE27-$V$5-$V$6-0</f>
        <v>20</v>
      </c>
      <c r="CG27" s="15" t="n">
        <f aca="false">MAX(0,CF27)</f>
        <v>20</v>
      </c>
      <c r="CH27" s="15" t="n">
        <f aca="false">MIN(CG27,$V$7)</f>
        <v>0</v>
      </c>
      <c r="CI27" s="15" t="n">
        <f aca="false">0</f>
        <v>0</v>
      </c>
      <c r="CJ27" s="15" t="n">
        <f aca="false">CG27-CH27</f>
        <v>20</v>
      </c>
      <c r="CK27" s="15" t="n">
        <f aca="false">$V$5+CH27+CJ27</f>
        <v>36</v>
      </c>
      <c r="CL27" s="15" t="n">
        <f aca="false">2*BE6+2*BF6+2*BE7+2*BF7</f>
        <v>112</v>
      </c>
      <c r="CM27" s="15" t="n">
        <f aca="false">2*BG6+2*BH6+2*BG7+2*BH7+1*BG8+1*BH8+1*BG9+1*BH9+SUM($AE$11:$AE$24)</f>
        <v>24</v>
      </c>
      <c r="CN27" s="15" t="n">
        <f aca="false">IF(CH27=0,0,INDEX($CC$2:$CC$57,CH27))</f>
        <v>0</v>
      </c>
      <c r="CO27" s="15" t="n">
        <f aca="false">CL27+$V$11+CN27+CJ27*$U$2</f>
        <v>308</v>
      </c>
      <c r="CP27" s="15" t="n">
        <f aca="false">CM27+CH27+CJ27</f>
        <v>44</v>
      </c>
      <c r="CQ27" s="15" t="n">
        <f aca="false">IF(CP27&gt;0,MIN(600,INT((CO27/CP27*40)+0.5+0.000000001)),0)</f>
        <v>280</v>
      </c>
      <c r="CR27" s="15" t="n">
        <f aca="false">$V$9+CT27</f>
        <v>0</v>
      </c>
      <c r="CS27" s="15" t="n">
        <f aca="false">IF(CK27&lt;32,6,IF(CK27&gt;40,8,CHOOSE(CK27-31,6,6,6,7,7,7,7,7,8)))</f>
        <v>7</v>
      </c>
      <c r="CT27" s="15" t="n">
        <f aca="false">$V$10+MAX(0,CH27-$V$8)+CJ27*IF($U$2&lt;5,1,0)</f>
        <v>0</v>
      </c>
      <c r="CU27" s="15" t="n">
        <f aca="false">$V$11+CN27+CJ27*$U$2</f>
        <v>196</v>
      </c>
      <c r="CV27" s="15" t="n">
        <f aca="false">IF(CQ27&gt;=200,1,0)</f>
        <v>1</v>
      </c>
      <c r="CW27" s="15" t="n">
        <f aca="false">IF(CR27&lt;=CS27,1,0)</f>
        <v>1</v>
      </c>
      <c r="CX27" s="15" t="n">
        <f aca="false">1</f>
        <v>1</v>
      </c>
      <c r="CY27" s="15" t="n">
        <f aca="false">1</f>
        <v>1</v>
      </c>
      <c r="CZ27" s="15" t="n">
        <f aca="false">1</f>
        <v>1</v>
      </c>
      <c r="DA27" s="15" t="n">
        <f aca="false">1</f>
        <v>1</v>
      </c>
      <c r="DB27" s="15" t="n">
        <f aca="false">IF($U$12=0,1,0)</f>
        <v>1</v>
      </c>
      <c r="DC27" s="15" t="n">
        <f aca="false">1</f>
        <v>1</v>
      </c>
      <c r="DD27" s="15" t="n">
        <f aca="false">1</f>
        <v>1</v>
      </c>
      <c r="DE27" s="15" t="n">
        <f aca="false">IF(CF27&lt;0,0,1)</f>
        <v>1</v>
      </c>
      <c r="DF27" s="15" t="n">
        <f aca="false">IF(CV27*CW27*CX27*CY27*CZ27*DA27*DB27*DC27*DD27*DE27=1,1,0)</f>
        <v>1</v>
      </c>
      <c r="DG27" s="15" t="n">
        <f aca="false">$V$6+CI27</f>
        <v>0</v>
      </c>
      <c r="DH27" s="15" t="n">
        <f aca="false">DF27*1000000+CQ27*100+(100-CK27)</f>
        <v>1028064</v>
      </c>
    </row>
    <row r="28" customFormat="false" ht="15" hidden="false" customHeight="false" outlineLevel="0" collapsed="false">
      <c r="B28" s="5" t="s">
        <v>185</v>
      </c>
      <c r="L28" s="8" t="s">
        <v>186</v>
      </c>
      <c r="T28" s="15" t="s">
        <v>187</v>
      </c>
      <c r="U28" s="15" t="n">
        <f aca="false">IF(ISNUMBER($I$6),0,1)+IF(ISNUMBER($I$7),0,1)+IF(ISNUMBER($I$8),0,1)+IF(ISNUMBER($I$9),0,1)</f>
        <v>4</v>
      </c>
      <c r="BZ28" s="15" t="n">
        <f aca="false">IFERROR(LARGE($AH$6:$AK$24,27),0)</f>
        <v>0</v>
      </c>
      <c r="CA28" s="15" t="n">
        <f aca="false">CA27+BZ28</f>
        <v>0</v>
      </c>
      <c r="CB28" s="15" t="n">
        <f aca="false">IFERROR(LARGE($AM$6:$AP$24,27),0)</f>
        <v>0</v>
      </c>
      <c r="CC28" s="15" t="n">
        <f aca="false">CC27+CB28</f>
        <v>0</v>
      </c>
      <c r="CE28" s="15" t="n">
        <f aca="false">37</f>
        <v>37</v>
      </c>
      <c r="CF28" s="15" t="n">
        <f aca="false">CE28-$V$5-$V$6-0</f>
        <v>21</v>
      </c>
      <c r="CG28" s="15" t="n">
        <f aca="false">MAX(0,CF28)</f>
        <v>21</v>
      </c>
      <c r="CH28" s="15" t="n">
        <f aca="false">MIN(CG28,$V$7)</f>
        <v>0</v>
      </c>
      <c r="CI28" s="15" t="n">
        <f aca="false">0</f>
        <v>0</v>
      </c>
      <c r="CJ28" s="15" t="n">
        <f aca="false">CG28-CH28</f>
        <v>21</v>
      </c>
      <c r="CK28" s="15" t="n">
        <f aca="false">$V$5+CH28+CJ28</f>
        <v>37</v>
      </c>
      <c r="CL28" s="15" t="n">
        <f aca="false">2*BE6+2*BF6+2*BE7+2*BF7</f>
        <v>112</v>
      </c>
      <c r="CM28" s="15" t="n">
        <f aca="false">2*BG6+2*BH6+2*BG7+2*BH7+1*BG8+1*BH8+1*BG9+1*BH9+SUM($AE$11:$AE$24)</f>
        <v>24</v>
      </c>
      <c r="CN28" s="15" t="n">
        <f aca="false">IF(CH28=0,0,INDEX($CC$2:$CC$57,CH28))</f>
        <v>0</v>
      </c>
      <c r="CO28" s="15" t="n">
        <f aca="false">CL28+$V$11+CN28+CJ28*$U$2</f>
        <v>315</v>
      </c>
      <c r="CP28" s="15" t="n">
        <f aca="false">CM28+CH28+CJ28</f>
        <v>45</v>
      </c>
      <c r="CQ28" s="15" t="n">
        <f aca="false">IF(CP28&gt;0,MIN(600,INT((CO28/CP28*40)+0.5+0.000000001)),0)</f>
        <v>280</v>
      </c>
      <c r="CR28" s="15" t="n">
        <f aca="false">$V$9+CT28</f>
        <v>0</v>
      </c>
      <c r="CS28" s="15" t="n">
        <f aca="false">IF(CK28&lt;32,6,IF(CK28&gt;40,8,CHOOSE(CK28-31,6,6,6,7,7,7,7,7,8)))</f>
        <v>7</v>
      </c>
      <c r="CT28" s="15" t="n">
        <f aca="false">$V$10+MAX(0,CH28-$V$8)+CJ28*IF($U$2&lt;5,1,0)</f>
        <v>0</v>
      </c>
      <c r="CU28" s="15" t="n">
        <f aca="false">$V$11+CN28+CJ28*$U$2</f>
        <v>203</v>
      </c>
      <c r="CV28" s="15" t="n">
        <f aca="false">IF(CQ28&gt;=200,1,0)</f>
        <v>1</v>
      </c>
      <c r="CW28" s="15" t="n">
        <f aca="false">IF(CR28&lt;=CS28,1,0)</f>
        <v>1</v>
      </c>
      <c r="CX28" s="15" t="n">
        <f aca="false">1</f>
        <v>1</v>
      </c>
      <c r="CY28" s="15" t="n">
        <f aca="false">1</f>
        <v>1</v>
      </c>
      <c r="CZ28" s="15" t="n">
        <f aca="false">1</f>
        <v>1</v>
      </c>
      <c r="DA28" s="15" t="n">
        <f aca="false">1</f>
        <v>1</v>
      </c>
      <c r="DB28" s="15" t="n">
        <f aca="false">IF($U$12=0,1,0)</f>
        <v>1</v>
      </c>
      <c r="DC28" s="15" t="n">
        <f aca="false">1</f>
        <v>1</v>
      </c>
      <c r="DD28" s="15" t="n">
        <f aca="false">1</f>
        <v>1</v>
      </c>
      <c r="DE28" s="15" t="n">
        <f aca="false">IF(CF28&lt;0,0,1)</f>
        <v>1</v>
      </c>
      <c r="DF28" s="15" t="n">
        <f aca="false">IF(CV28*CW28*CX28*CY28*CZ28*DA28*DB28*DC28*DD28*DE28=1,1,0)</f>
        <v>1</v>
      </c>
      <c r="DG28" s="15" t="n">
        <f aca="false">$V$6+CI28</f>
        <v>0</v>
      </c>
      <c r="DH28" s="15" t="n">
        <f aca="false">DF28*1000000+CQ28*100+(100-CK28)</f>
        <v>1028063</v>
      </c>
    </row>
    <row r="29" customFormat="false" ht="15" hidden="false" customHeight="false" outlineLevel="0" collapsed="false">
      <c r="B29" s="12" t="s">
        <v>188</v>
      </c>
      <c r="L29" s="46" t="s">
        <v>189</v>
      </c>
      <c r="T29" s="15" t="s">
        <v>190</v>
      </c>
      <c r="U29" s="15" t="n">
        <f aca="false">IF($U$17&gt;=100,1,0)</f>
        <v>0</v>
      </c>
      <c r="BZ29" s="15" t="n">
        <f aca="false">IFERROR(LARGE($AH$6:$AK$24,28),0)</f>
        <v>0</v>
      </c>
      <c r="CA29" s="15" t="n">
        <f aca="false">CA28+BZ29</f>
        <v>0</v>
      </c>
      <c r="CB29" s="15" t="n">
        <f aca="false">IFERROR(LARGE($AM$6:$AP$24,28),0)</f>
        <v>0</v>
      </c>
      <c r="CC29" s="15" t="n">
        <f aca="false">CC28+CB29</f>
        <v>0</v>
      </c>
      <c r="CE29" s="15" t="n">
        <f aca="false">38</f>
        <v>38</v>
      </c>
      <c r="CF29" s="15" t="n">
        <f aca="false">CE29-$V$5-$V$6-0</f>
        <v>22</v>
      </c>
      <c r="CG29" s="15" t="n">
        <f aca="false">MAX(0,CF29)</f>
        <v>22</v>
      </c>
      <c r="CH29" s="15" t="n">
        <f aca="false">MIN(CG29,$V$7)</f>
        <v>0</v>
      </c>
      <c r="CI29" s="15" t="n">
        <f aca="false">0</f>
        <v>0</v>
      </c>
      <c r="CJ29" s="15" t="n">
        <f aca="false">CG29-CH29</f>
        <v>22</v>
      </c>
      <c r="CK29" s="15" t="n">
        <f aca="false">$V$5+CH29+CJ29</f>
        <v>38</v>
      </c>
      <c r="CL29" s="15" t="n">
        <f aca="false">2*BE6+2*BF6+2*BE7+2*BF7</f>
        <v>112</v>
      </c>
      <c r="CM29" s="15" t="n">
        <f aca="false">2*BG6+2*BH6+2*BG7+2*BH7+1*BG8+1*BH8+1*BG9+1*BH9+SUM($AE$11:$AE$24)</f>
        <v>24</v>
      </c>
      <c r="CN29" s="15" t="n">
        <f aca="false">IF(CH29=0,0,INDEX($CC$2:$CC$57,CH29))</f>
        <v>0</v>
      </c>
      <c r="CO29" s="15" t="n">
        <f aca="false">CL29+$V$11+CN29+CJ29*$U$2</f>
        <v>322</v>
      </c>
      <c r="CP29" s="15" t="n">
        <f aca="false">CM29+CH29+CJ29</f>
        <v>46</v>
      </c>
      <c r="CQ29" s="15" t="n">
        <f aca="false">IF(CP29&gt;0,MIN(600,INT((CO29/CP29*40)+0.5+0.000000001)),0)</f>
        <v>280</v>
      </c>
      <c r="CR29" s="15" t="n">
        <f aca="false">$V$9+CT29</f>
        <v>0</v>
      </c>
      <c r="CS29" s="15" t="n">
        <f aca="false">IF(CK29&lt;32,6,IF(CK29&gt;40,8,CHOOSE(CK29-31,6,6,6,7,7,7,7,7,8)))</f>
        <v>7</v>
      </c>
      <c r="CT29" s="15" t="n">
        <f aca="false">$V$10+MAX(0,CH29-$V$8)+CJ29*IF($U$2&lt;5,1,0)</f>
        <v>0</v>
      </c>
      <c r="CU29" s="15" t="n">
        <f aca="false">$V$11+CN29+CJ29*$U$2</f>
        <v>210</v>
      </c>
      <c r="CV29" s="15" t="n">
        <f aca="false">IF(CQ29&gt;=200,1,0)</f>
        <v>1</v>
      </c>
      <c r="CW29" s="15" t="n">
        <f aca="false">IF(CR29&lt;=CS29,1,0)</f>
        <v>1</v>
      </c>
      <c r="CX29" s="15" t="n">
        <f aca="false">1</f>
        <v>1</v>
      </c>
      <c r="CY29" s="15" t="n">
        <f aca="false">1</f>
        <v>1</v>
      </c>
      <c r="CZ29" s="15" t="n">
        <f aca="false">1</f>
        <v>1</v>
      </c>
      <c r="DA29" s="15" t="n">
        <f aca="false">1</f>
        <v>1</v>
      </c>
      <c r="DB29" s="15" t="n">
        <f aca="false">IF($U$12=0,1,0)</f>
        <v>1</v>
      </c>
      <c r="DC29" s="15" t="n">
        <f aca="false">1</f>
        <v>1</v>
      </c>
      <c r="DD29" s="15" t="n">
        <f aca="false">1</f>
        <v>1</v>
      </c>
      <c r="DE29" s="15" t="n">
        <f aca="false">IF(CF29&lt;0,0,1)</f>
        <v>1</v>
      </c>
      <c r="DF29" s="15" t="n">
        <f aca="false">IF(CV29*CW29*CX29*CY29*CZ29*DA29*DB29*DC29*DD29*DE29=1,1,0)</f>
        <v>1</v>
      </c>
      <c r="DG29" s="15" t="n">
        <f aca="false">$V$6+CI29</f>
        <v>0</v>
      </c>
      <c r="DH29" s="15" t="n">
        <f aca="false">DF29*1000000+CQ29*100+(100-CK29)</f>
        <v>1028062</v>
      </c>
    </row>
    <row r="30" customFormat="false" ht="15" hidden="false" customHeight="false" outlineLevel="0" collapsed="false">
      <c r="B30" s="12" t="s">
        <v>191</v>
      </c>
      <c r="L30" s="47" t="s">
        <v>192</v>
      </c>
      <c r="T30" s="15" t="s">
        <v>193</v>
      </c>
      <c r="U30" s="15" t="n">
        <f aca="false">IF(AND($U$18&gt;=$U$27,$U$19&gt;=1),1,0)</f>
        <v>0</v>
      </c>
      <c r="BZ30" s="15" t="n">
        <f aca="false">IFERROR(LARGE($AH$6:$AK$24,29),0)</f>
        <v>0</v>
      </c>
      <c r="CA30" s="15" t="n">
        <f aca="false">CA29+BZ30</f>
        <v>0</v>
      </c>
      <c r="CB30" s="15" t="n">
        <f aca="false">IFERROR(LARGE($AM$6:$AP$24,29),0)</f>
        <v>0</v>
      </c>
      <c r="CC30" s="15" t="n">
        <f aca="false">CC29+CB30</f>
        <v>0</v>
      </c>
      <c r="CE30" s="15" t="n">
        <f aca="false">39</f>
        <v>39</v>
      </c>
      <c r="CF30" s="15" t="n">
        <f aca="false">CE30-$V$5-$V$6-0</f>
        <v>23</v>
      </c>
      <c r="CG30" s="15" t="n">
        <f aca="false">MAX(0,CF30)</f>
        <v>23</v>
      </c>
      <c r="CH30" s="15" t="n">
        <f aca="false">MIN(CG30,$V$7)</f>
        <v>0</v>
      </c>
      <c r="CI30" s="15" t="n">
        <f aca="false">0</f>
        <v>0</v>
      </c>
      <c r="CJ30" s="15" t="n">
        <f aca="false">CG30-CH30</f>
        <v>23</v>
      </c>
      <c r="CK30" s="15" t="n">
        <f aca="false">$V$5+CH30+CJ30</f>
        <v>39</v>
      </c>
      <c r="CL30" s="15" t="n">
        <f aca="false">2*BE6+2*BF6+2*BE7+2*BF7</f>
        <v>112</v>
      </c>
      <c r="CM30" s="15" t="n">
        <f aca="false">2*BG6+2*BH6+2*BG7+2*BH7+1*BG8+1*BH8+1*BG9+1*BH9+SUM($AE$11:$AE$24)</f>
        <v>24</v>
      </c>
      <c r="CN30" s="15" t="n">
        <f aca="false">IF(CH30=0,0,INDEX($CC$2:$CC$57,CH30))</f>
        <v>0</v>
      </c>
      <c r="CO30" s="15" t="n">
        <f aca="false">CL30+$V$11+CN30+CJ30*$U$2</f>
        <v>329</v>
      </c>
      <c r="CP30" s="15" t="n">
        <f aca="false">CM30+CH30+CJ30</f>
        <v>47</v>
      </c>
      <c r="CQ30" s="15" t="n">
        <f aca="false">IF(CP30&gt;0,MIN(600,INT((CO30/CP30*40)+0.5+0.000000001)),0)</f>
        <v>280</v>
      </c>
      <c r="CR30" s="15" t="n">
        <f aca="false">$V$9+CT30</f>
        <v>0</v>
      </c>
      <c r="CS30" s="15" t="n">
        <f aca="false">IF(CK30&lt;32,6,IF(CK30&gt;40,8,CHOOSE(CK30-31,6,6,6,7,7,7,7,7,8)))</f>
        <v>7</v>
      </c>
      <c r="CT30" s="15" t="n">
        <f aca="false">$V$10+MAX(0,CH30-$V$8)+CJ30*IF($U$2&lt;5,1,0)</f>
        <v>0</v>
      </c>
      <c r="CU30" s="15" t="n">
        <f aca="false">$V$11+CN30+CJ30*$U$2</f>
        <v>217</v>
      </c>
      <c r="CV30" s="15" t="n">
        <f aca="false">IF(CQ30&gt;=200,1,0)</f>
        <v>1</v>
      </c>
      <c r="CW30" s="15" t="n">
        <f aca="false">IF(CR30&lt;=CS30,1,0)</f>
        <v>1</v>
      </c>
      <c r="CX30" s="15" t="n">
        <f aca="false">1</f>
        <v>1</v>
      </c>
      <c r="CY30" s="15" t="n">
        <f aca="false">1</f>
        <v>1</v>
      </c>
      <c r="CZ30" s="15" t="n">
        <f aca="false">1</f>
        <v>1</v>
      </c>
      <c r="DA30" s="15" t="n">
        <f aca="false">1</f>
        <v>1</v>
      </c>
      <c r="DB30" s="15" t="n">
        <f aca="false">IF($U$12=0,1,0)</f>
        <v>1</v>
      </c>
      <c r="DC30" s="15" t="n">
        <f aca="false">1</f>
        <v>1</v>
      </c>
      <c r="DD30" s="15" t="n">
        <f aca="false">1</f>
        <v>1</v>
      </c>
      <c r="DE30" s="15" t="n">
        <f aca="false">IF(CF30&lt;0,0,1)</f>
        <v>1</v>
      </c>
      <c r="DF30" s="15" t="n">
        <f aca="false">IF(CV30*CW30*CX30*CY30*CZ30*DA30*DB30*DC30*DD30*DE30=1,1,0)</f>
        <v>1</v>
      </c>
      <c r="DG30" s="15" t="n">
        <f aca="false">$V$6+CI30</f>
        <v>0</v>
      </c>
      <c r="DH30" s="15" t="n">
        <f aca="false">DF30*1000000+CQ30*100+(100-CK30)</f>
        <v>1028061</v>
      </c>
    </row>
    <row r="31" customFormat="false" ht="15" hidden="false" customHeight="false" outlineLevel="0" collapsed="false">
      <c r="B31" s="12" t="s">
        <v>194</v>
      </c>
      <c r="L31" s="48" t="s">
        <v>195</v>
      </c>
      <c r="T31" s="15" t="s">
        <v>196</v>
      </c>
      <c r="U31" s="15" t="n">
        <f aca="false">$U$29*$U$30</f>
        <v>0</v>
      </c>
      <c r="BZ31" s="15" t="n">
        <f aca="false">IFERROR(LARGE($AH$6:$AK$24,30),0)</f>
        <v>0</v>
      </c>
      <c r="CA31" s="15" t="n">
        <f aca="false">CA30+BZ31</f>
        <v>0</v>
      </c>
      <c r="CB31" s="15" t="n">
        <f aca="false">IFERROR(LARGE($AM$6:$AP$24,30),0)</f>
        <v>0</v>
      </c>
      <c r="CC31" s="15" t="n">
        <f aca="false">CC30+CB31</f>
        <v>0</v>
      </c>
      <c r="CE31" s="15" t="n">
        <f aca="false">40</f>
        <v>40</v>
      </c>
      <c r="CF31" s="15" t="n">
        <f aca="false">CE31-$V$5-$V$6-0</f>
        <v>24</v>
      </c>
      <c r="CG31" s="15" t="n">
        <f aca="false">MAX(0,CF31)</f>
        <v>24</v>
      </c>
      <c r="CH31" s="15" t="n">
        <f aca="false">MIN(CG31,$V$7)</f>
        <v>0</v>
      </c>
      <c r="CI31" s="15" t="n">
        <f aca="false">0</f>
        <v>0</v>
      </c>
      <c r="CJ31" s="15" t="n">
        <f aca="false">CG31-CH31</f>
        <v>24</v>
      </c>
      <c r="CK31" s="15" t="n">
        <f aca="false">$V$5+CH31+CJ31</f>
        <v>40</v>
      </c>
      <c r="CL31" s="15" t="n">
        <f aca="false">2*BE6+2*BF6+2*BE7+2*BF7</f>
        <v>112</v>
      </c>
      <c r="CM31" s="15" t="n">
        <f aca="false">2*BG6+2*BH6+2*BG7+2*BH7+1*BG8+1*BH8+1*BG9+1*BH9+SUM($AE$11:$AE$24)</f>
        <v>24</v>
      </c>
      <c r="CN31" s="15" t="n">
        <f aca="false">IF(CH31=0,0,INDEX($CC$2:$CC$57,CH31))</f>
        <v>0</v>
      </c>
      <c r="CO31" s="15" t="n">
        <f aca="false">CL31+$V$11+CN31+CJ31*$U$2</f>
        <v>336</v>
      </c>
      <c r="CP31" s="15" t="n">
        <f aca="false">CM31+CH31+CJ31</f>
        <v>48</v>
      </c>
      <c r="CQ31" s="15" t="n">
        <f aca="false">IF(CP31&gt;0,MIN(600,INT((CO31/CP31*40)+0.5+0.000000001)),0)</f>
        <v>280</v>
      </c>
      <c r="CR31" s="15" t="n">
        <f aca="false">$V$9+CT31</f>
        <v>0</v>
      </c>
      <c r="CS31" s="15" t="n">
        <f aca="false">IF(CK31&lt;32,6,IF(CK31&gt;40,8,CHOOSE(CK31-31,6,6,6,7,7,7,7,7,8)))</f>
        <v>8</v>
      </c>
      <c r="CT31" s="15" t="n">
        <f aca="false">$V$10+MAX(0,CH31-$V$8)+CJ31*IF($U$2&lt;5,1,0)</f>
        <v>0</v>
      </c>
      <c r="CU31" s="15" t="n">
        <f aca="false">$V$11+CN31+CJ31*$U$2</f>
        <v>224</v>
      </c>
      <c r="CV31" s="15" t="n">
        <f aca="false">IF(CQ31&gt;=200,1,0)</f>
        <v>1</v>
      </c>
      <c r="CW31" s="15" t="n">
        <f aca="false">IF(CR31&lt;=CS31,1,0)</f>
        <v>1</v>
      </c>
      <c r="CX31" s="15" t="n">
        <f aca="false">1</f>
        <v>1</v>
      </c>
      <c r="CY31" s="15" t="n">
        <f aca="false">1</f>
        <v>1</v>
      </c>
      <c r="CZ31" s="15" t="n">
        <f aca="false">1</f>
        <v>1</v>
      </c>
      <c r="DA31" s="15" t="n">
        <f aca="false">1</f>
        <v>1</v>
      </c>
      <c r="DB31" s="15" t="n">
        <f aca="false">IF($U$12=0,1,0)</f>
        <v>1</v>
      </c>
      <c r="DC31" s="15" t="n">
        <f aca="false">1</f>
        <v>1</v>
      </c>
      <c r="DD31" s="15" t="n">
        <f aca="false">1</f>
        <v>1</v>
      </c>
      <c r="DE31" s="15" t="n">
        <f aca="false">IF(CF31&lt;0,0,1)</f>
        <v>1</v>
      </c>
      <c r="DF31" s="15" t="n">
        <f aca="false">IF(CV31*CW31*CX31*CY31*CZ31*DA31*DB31*DC31*DD31*DE31=1,1,0)</f>
        <v>1</v>
      </c>
      <c r="DG31" s="15" t="n">
        <f aca="false">$V$6+CI31</f>
        <v>0</v>
      </c>
      <c r="DH31" s="15" t="n">
        <f aca="false">DF31*1000000+CQ31*100+(100-CK31)</f>
        <v>1028060</v>
      </c>
    </row>
    <row r="32" customFormat="false" ht="15" hidden="false" customHeight="false" outlineLevel="0" collapsed="false">
      <c r="B32" s="12" t="s">
        <v>197</v>
      </c>
      <c r="T32" s="15" t="s">
        <v>198</v>
      </c>
      <c r="U32" s="15" t="n">
        <f aca="false">IF($U$22&gt;=100,1,0)</f>
        <v>1</v>
      </c>
      <c r="BZ32" s="15" t="n">
        <f aca="false">IFERROR(LARGE($AH$6:$AK$24,31),0)</f>
        <v>0</v>
      </c>
      <c r="CA32" s="15" t="n">
        <f aca="false">CA31+BZ32</f>
        <v>0</v>
      </c>
      <c r="CB32" s="15" t="n">
        <f aca="false">IFERROR(LARGE($AM$6:$AP$24,31),0)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199</v>
      </c>
      <c r="L33" s="49" t="s">
        <v>200</v>
      </c>
      <c r="T33" s="15" t="s">
        <v>201</v>
      </c>
      <c r="U33" s="15" t="n">
        <f aca="false">IF(AND($U$23&gt;=$U$27,$U$24&gt;=1),1,0)</f>
        <v>1</v>
      </c>
      <c r="BZ33" s="15" t="n">
        <f aca="false">IFERROR(LARGE($AH$6:$AK$24,32),0)</f>
        <v>0</v>
      </c>
      <c r="CA33" s="15" t="n">
        <f aca="false">CA32+BZ33</f>
        <v>0</v>
      </c>
      <c r="CB33" s="15" t="n">
        <f aca="false">IFERROR(LARGE($AM$6:$AP$24,32),0)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9" t="s">
        <v>202</v>
      </c>
      <c r="T34" s="15" t="s">
        <v>203</v>
      </c>
      <c r="U34" s="15" t="n">
        <f aca="false">$U$32*$U$33</f>
        <v>1</v>
      </c>
      <c r="BZ34" s="15" t="n">
        <f aca="false">IFERROR(LARGE($AH$6:$AK$24,33),0)</f>
        <v>0</v>
      </c>
      <c r="CA34" s="15" t="n">
        <f aca="false">CA33+BZ34</f>
        <v>0</v>
      </c>
      <c r="CB34" s="15" t="n">
        <f aca="false">IFERROR(LARGE($AM$6:$AP$24,33),0)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9" t="s">
        <v>204</v>
      </c>
      <c r="T35" s="15" t="s">
        <v>205</v>
      </c>
      <c r="U35" s="15" t="n">
        <f aca="false">INDEX($DG$3:$DG$11,$U$13)+$U$28</f>
        <v>36</v>
      </c>
      <c r="BZ35" s="15" t="n">
        <f aca="false">IFERROR(LARGE($AH$6:$AK$24,34),0)</f>
        <v>0</v>
      </c>
      <c r="CA35" s="15" t="n">
        <f aca="false">CA34+BZ35</f>
        <v>0</v>
      </c>
      <c r="CB35" s="15" t="n">
        <f aca="false">IFERROR(LARGE($AM$6:$AP$24,34),0)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50" t="s">
        <v>206</v>
      </c>
      <c r="T36" s="15" t="s">
        <v>207</v>
      </c>
      <c r="U36" s="15" t="n">
        <f aca="false">IF($U$35=0,1,0)</f>
        <v>0</v>
      </c>
      <c r="BZ36" s="15" t="n">
        <f aca="false">IFERROR(LARGE($AH$6:$AK$24,35),0)</f>
        <v>0</v>
      </c>
      <c r="CA36" s="15" t="n">
        <f aca="false">CA35+BZ36</f>
        <v>0</v>
      </c>
      <c r="CB36" s="15" t="n">
        <f aca="false">IFERROR(LARGE($AM$6:$AP$24,35),0)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208</v>
      </c>
      <c r="U37" s="15" t="n">
        <f aca="false">IF($U$36=1,INDEX($CQ$3:$CQ$11,$U$13),INDEX($CQ$23:$CQ$31,$U$14))</f>
        <v>280</v>
      </c>
      <c r="BZ37" s="15" t="n">
        <f aca="false">IFERROR(LARGE($AH$6:$AK$24,36),0)</f>
        <v>0</v>
      </c>
      <c r="CA37" s="15" t="n">
        <f aca="false">CA36+BZ37</f>
        <v>0</v>
      </c>
      <c r="CB37" s="15" t="n">
        <f aca="false">IFERROR(LARGE($AM$6:$AP$24,36),0)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1" t="s">
        <v>209</v>
      </c>
      <c r="T38" s="15" t="s">
        <v>210</v>
      </c>
      <c r="U38" s="15" t="n">
        <f aca="false">IF($U$36=1,INDEX($CK$3:$CK$11,$U$13),INDEX($CK$23:$CK$31,$U$14))</f>
        <v>32</v>
      </c>
      <c r="BZ38" s="15" t="n">
        <f aca="false">IFERROR(LARGE($AH$6:$AK$24,37),0)</f>
        <v>0</v>
      </c>
      <c r="CA38" s="15" t="n">
        <f aca="false">CA37+BZ38</f>
        <v>0</v>
      </c>
      <c r="CB38" s="15" t="n">
        <f aca="false">IFERROR(LARGE($AM$6:$AP$24,37),0)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2" t="s">
        <v>211</v>
      </c>
      <c r="T39" s="15" t="s">
        <v>212</v>
      </c>
      <c r="U39" s="15" t="n">
        <f aca="false">IF($U$36=1,INDEX($CR$3:$CR$11,$U$13),INDEX($CR$23:$CR$31,$U$14))</f>
        <v>0</v>
      </c>
      <c r="BZ39" s="15" t="n">
        <f aca="false">IFERROR(LARGE($AH$6:$AK$24,38),0)</f>
        <v>0</v>
      </c>
      <c r="CA39" s="15" t="n">
        <f aca="false">CA38+BZ39</f>
        <v>0</v>
      </c>
      <c r="CB39" s="15" t="n">
        <f aca="false">IFERROR(LARGE($AM$6:$AP$24,38),0)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213</v>
      </c>
      <c r="U40" s="15" t="n">
        <f aca="false">IF($U$36=1,INDEX($CS$3:$CS$11,$U$13),INDEX($CS$23:$CS$31,$U$14))</f>
        <v>6</v>
      </c>
      <c r="BZ40" s="15" t="n">
        <f aca="false">IFERROR(LARGE($AH$6:$AK$24,39),0)</f>
        <v>0</v>
      </c>
      <c r="CA40" s="15" t="n">
        <f aca="false">CA39+BZ40</f>
        <v>0</v>
      </c>
      <c r="CB40" s="15" t="n">
        <f aca="false">IFERROR(LARGE($AM$6:$AP$24,39),0)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214</v>
      </c>
      <c r="U41" s="15" t="n">
        <f aca="false">IF($U$36=1,INDEX($CT$3:$CT$11,$U$13),INDEX($CT$23:$CT$31,$U$14))</f>
        <v>0</v>
      </c>
      <c r="BZ41" s="15" t="n">
        <f aca="false">IFERROR(LARGE($AH$6:$AK$24,40),0)</f>
        <v>0</v>
      </c>
      <c r="CA41" s="15" t="n">
        <f aca="false">CA40+BZ41</f>
        <v>0</v>
      </c>
      <c r="CB41" s="15" t="n">
        <f aca="false">IFERROR(LARGE($AM$6:$AP$24,40),0)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215</v>
      </c>
      <c r="U42" s="15" t="n">
        <f aca="false">IF($U$36=1,INDEX($CL$3:$CL$11,$U$13),INDEX($CL$23:$CL$31,$U$14))</f>
        <v>112</v>
      </c>
      <c r="BZ42" s="15" t="n">
        <f aca="false">IFERROR(LARGE($AH$6:$AK$24,41),0)</f>
        <v>0</v>
      </c>
      <c r="CA42" s="15" t="n">
        <f aca="false">CA41+BZ42</f>
        <v>0</v>
      </c>
      <c r="CB42" s="15" t="n">
        <f aca="false">IFERROR(LARGE($AM$6:$AP$24,41),0)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216</v>
      </c>
      <c r="U43" s="15" t="n">
        <f aca="false">IF($U$36=1,INDEX($CU$3:$CU$11,$U$13),INDEX($CU$23:$CU$31,$U$14))</f>
        <v>168</v>
      </c>
      <c r="BZ43" s="15" t="n">
        <f aca="false">IFERROR(LARGE($AH$6:$AK$24,42),0)</f>
        <v>0</v>
      </c>
      <c r="CA43" s="15" t="n">
        <f aca="false">CA42+BZ43</f>
        <v>0</v>
      </c>
      <c r="CB43" s="15" t="n">
        <f aca="false">IFERROR(LARGE($AM$6:$AP$24,42),0)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217</v>
      </c>
      <c r="U44" s="15" t="n">
        <f aca="false">IF($U$36=1,INDEX($CP$3:$CP$11,$U$13),INDEX($CP$23:$CP$31,$U$14))</f>
        <v>40</v>
      </c>
      <c r="BZ44" s="15" t="n">
        <f aca="false">IFERROR(LARGE($AH$6:$AK$24,43),0)</f>
        <v>0</v>
      </c>
      <c r="CA44" s="15" t="n">
        <f aca="false">CA43+BZ44</f>
        <v>0</v>
      </c>
      <c r="CB44" s="15" t="n">
        <f aca="false">IFERROR(LARGE($AM$6:$AP$24,43),0)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218</v>
      </c>
      <c r="U45" s="15" t="n">
        <f aca="false">IF($U$36=1,INDEX($CO$3:$CO$11,$U$13),INDEX($CO$23:$CO$31,$U$14))</f>
        <v>280</v>
      </c>
      <c r="BZ45" s="15" t="n">
        <f aca="false">IFERROR(LARGE($AH$6:$AK$24,44),0)</f>
        <v>0</v>
      </c>
      <c r="CA45" s="15" t="n">
        <f aca="false">CA44+BZ45</f>
        <v>0</v>
      </c>
      <c r="CB45" s="15" t="n">
        <f aca="false">IFERROR(LARGE($AM$6:$AP$24,44),0)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219</v>
      </c>
      <c r="U46" s="15" t="n">
        <f aca="false">IF($U$36=1,INDEX($CH$3:$CH$11,$U$13),INDEX($CH$23:$CH$31,$U$14))</f>
        <v>0</v>
      </c>
      <c r="BZ46" s="15" t="n">
        <f aca="false">IFERROR(LARGE($AH$6:$AK$24,45),0)</f>
        <v>0</v>
      </c>
      <c r="CA46" s="15" t="n">
        <f aca="false">CA45+BZ46</f>
        <v>0</v>
      </c>
      <c r="CB46" s="15" t="n">
        <f aca="false">IFERROR(LARGE($AM$6:$AP$24,45),0)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220</v>
      </c>
      <c r="U47" s="15" t="n">
        <f aca="false">IF($U$36=1,INDEX($DF$3:$DF$11,$U$13),INDEX($DF$23:$DF$31,$U$14))</f>
        <v>1</v>
      </c>
      <c r="BZ47" s="15" t="n">
        <f aca="false">IFERROR(LARGE($AH$6:$AK$24,46),0)</f>
        <v>0</v>
      </c>
      <c r="CA47" s="15" t="n">
        <f aca="false">CA46+BZ47</f>
        <v>0</v>
      </c>
      <c r="CB47" s="15" t="n">
        <f aca="false">IFERROR(LARGE($AM$6:$AP$24,46),0)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221</v>
      </c>
      <c r="U48" s="15" t="n">
        <f aca="false">IF($U$36=1,INDEX($CV$3:$CV$11,$U$13),INDEX($CV$23:$CV$31,$U$14))</f>
        <v>1</v>
      </c>
      <c r="BZ48" s="15" t="n">
        <f aca="false">IFERROR(LARGE($AH$6:$AK$24,47),0)</f>
        <v>0</v>
      </c>
      <c r="CA48" s="15" t="n">
        <f aca="false">CA47+BZ48</f>
        <v>0</v>
      </c>
      <c r="CB48" s="15" t="n">
        <f aca="false">IFERROR(LARGE($AM$6:$AP$24,47),0)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222</v>
      </c>
      <c r="U49" s="15" t="n">
        <f aca="false">IF($U$36=1,INDEX($CW$3:$CW$11,$U$13),INDEX($CW$23:$CW$31,$U$14))</f>
        <v>1</v>
      </c>
      <c r="BZ49" s="15" t="n">
        <f aca="false">IFERROR(LARGE($AH$6:$AK$24,48),0)</f>
        <v>0</v>
      </c>
      <c r="CA49" s="15" t="n">
        <f aca="false">CA48+BZ49</f>
        <v>0</v>
      </c>
      <c r="CB49" s="15" t="n">
        <f aca="false">IFERROR(LARGE($AM$6:$AP$24,48),0)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223</v>
      </c>
      <c r="U50" s="15" t="n">
        <f aca="false">IF($U$36=1,INDEX($CX$3:$CX$11,$U$13),INDEX($CX$23:$CX$31,$U$14))</f>
        <v>1</v>
      </c>
      <c r="BZ50" s="15" t="n">
        <f aca="false">IFERROR(LARGE($AH$6:$AK$24,49),0)</f>
        <v>0</v>
      </c>
      <c r="CA50" s="15" t="n">
        <f aca="false">CA49+BZ50</f>
        <v>0</v>
      </c>
      <c r="CB50" s="15" t="n">
        <f aca="false">IFERROR(LARGE($AM$6:$AP$24,49),0)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224</v>
      </c>
      <c r="U51" s="15" t="n">
        <f aca="false">IF($U$36=1,INDEX($CY$3:$CY$11,$U$13),INDEX($CY$23:$CY$31,$U$14))</f>
        <v>1</v>
      </c>
      <c r="BZ51" s="15" t="n">
        <f aca="false">IFERROR(LARGE($AH$6:$AK$24,50),0)</f>
        <v>0</v>
      </c>
      <c r="CA51" s="15" t="n">
        <f aca="false">CA50+BZ51</f>
        <v>0</v>
      </c>
      <c r="CB51" s="15" t="n">
        <f aca="false">IFERROR(LARGE($AM$6:$AP$24,50),0)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225</v>
      </c>
      <c r="U52" s="15" t="n">
        <f aca="false">IF($U$36=1,INDEX($CZ$3:$CZ$11,$U$13),INDEX($CZ$23:$CZ$31,$U$14))</f>
        <v>1</v>
      </c>
      <c r="BZ52" s="15" t="n">
        <f aca="false">IFERROR(LARGE($AH$6:$AK$24,51),0)</f>
        <v>0</v>
      </c>
      <c r="CA52" s="15" t="n">
        <f aca="false">CA51+BZ52</f>
        <v>0</v>
      </c>
      <c r="CB52" s="15" t="n">
        <f aca="false">IFERROR(LARGE($AM$6:$AP$24,51),0)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226</v>
      </c>
      <c r="U53" s="15" t="n">
        <f aca="false">IF($U$36=1,INDEX($DA$3:$DA$11,$U$13),INDEX($DA$23:$DA$31,$U$14))</f>
        <v>1</v>
      </c>
      <c r="BZ53" s="15" t="n">
        <f aca="false">IFERROR(LARGE($AH$6:$AK$24,52),0)</f>
        <v>0</v>
      </c>
      <c r="CA53" s="15" t="n">
        <f aca="false">CA52+BZ53</f>
        <v>0</v>
      </c>
      <c r="CB53" s="15" t="n">
        <f aca="false">IFERROR(LARGE($AM$6:$AP$24,52),0)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227</v>
      </c>
      <c r="U54" s="15" t="n">
        <f aca="false">IF($U$36=1,INDEX($DB$3:$DB$11,$U$13),INDEX($DB$23:$DB$31,$U$14))</f>
        <v>1</v>
      </c>
      <c r="BZ54" s="15" t="n">
        <f aca="false">IFERROR(LARGE($AH$6:$AK$24,53),0)</f>
        <v>0</v>
      </c>
      <c r="CA54" s="15" t="n">
        <f aca="false">CA53+BZ54</f>
        <v>0</v>
      </c>
      <c r="CB54" s="15" t="n">
        <f aca="false">IFERROR(LARGE($AM$6:$AP$24,53),0)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228</v>
      </c>
      <c r="U55" s="15" t="n">
        <f aca="false">IF($U$36=1,INDEX($DC$3:$DC$11,$U$13),INDEX($DC$23:$DC$31,$U$14))</f>
        <v>1</v>
      </c>
      <c r="BZ55" s="15" t="n">
        <f aca="false">IFERROR(LARGE($AH$6:$AK$24,54),0)</f>
        <v>0</v>
      </c>
      <c r="CA55" s="15" t="n">
        <f aca="false">CA54+BZ55</f>
        <v>0</v>
      </c>
      <c r="CB55" s="15" t="n">
        <f aca="false">IFERROR(LARGE($AM$6:$AP$24,54),0)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229</v>
      </c>
      <c r="U56" s="15" t="n">
        <f aca="false">IF($U$36=1,INDEX($DD$3:$DD$11,$U$13),INDEX($DD$23:$DD$31,$U$14))</f>
        <v>1</v>
      </c>
      <c r="BZ56" s="15" t="n">
        <f aca="false">IFERROR(LARGE($AH$6:$AK$24,55),0)</f>
        <v>0</v>
      </c>
      <c r="CA56" s="15" t="n">
        <f aca="false">CA55+BZ56</f>
        <v>0</v>
      </c>
      <c r="CB56" s="15" t="n">
        <f aca="false">IFERROR(LARGE($AM$6:$AP$24,55),0)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230</v>
      </c>
      <c r="U57" s="15" t="n">
        <f aca="false">IF($U$36=1,INDEX($DE$3:$DE$11,$U$13),INDEX($DE$23:$DE$31,$U$14))</f>
        <v>1</v>
      </c>
      <c r="BZ57" s="15" t="n">
        <f aca="false">IFERROR(LARGE($AH$6:$AK$24,56),0)</f>
        <v>0</v>
      </c>
      <c r="CA57" s="15" t="n">
        <f aca="false">CA56+BZ57</f>
        <v>0</v>
      </c>
      <c r="CB57" s="15" t="n">
        <f aca="false">IFERROR(LARGE($AM$6:$AP$24,56),0)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231</v>
      </c>
      <c r="U58" s="15" t="n">
        <f aca="false">IF($U$36=1,$U$13,$U$14)</f>
        <v>1</v>
      </c>
    </row>
    <row r="59" customFormat="false" ht="15" hidden="false" customHeight="false" outlineLevel="0" collapsed="false">
      <c r="T59" s="15" t="s">
        <v>232</v>
      </c>
      <c r="U59" s="15" t="n">
        <f aca="false">IF($U$36=1,$U$9,$V$9)</f>
        <v>0</v>
      </c>
    </row>
    <row r="60" customFormat="false" ht="15" hidden="false" customHeight="false" outlineLevel="0" collapsed="false">
      <c r="T60" s="15" t="s">
        <v>233</v>
      </c>
      <c r="U60" s="15" t="n">
        <f aca="false">IF($U$36=1,$U$17,$U$22)</f>
        <v>140</v>
      </c>
    </row>
    <row r="61" customFormat="false" ht="15" hidden="false" customHeight="false" outlineLevel="0" collapsed="false">
      <c r="T61" s="15" t="s">
        <v>234</v>
      </c>
      <c r="U61" s="15" t="n">
        <f aca="false">IF($U$36=1,$U$18,$U$23)</f>
        <v>4</v>
      </c>
    </row>
    <row r="62" customFormat="false" ht="15" hidden="false" customHeight="false" outlineLevel="0" collapsed="false">
      <c r="T62" s="15" t="s">
        <v>235</v>
      </c>
      <c r="U62" s="15" t="n">
        <f aca="false">IF($U$36=1,$U$29,$U$32)</f>
        <v>1</v>
      </c>
    </row>
    <row r="63" customFormat="false" ht="15" hidden="false" customHeight="false" outlineLevel="0" collapsed="false">
      <c r="T63" s="15" t="s">
        <v>236</v>
      </c>
      <c r="U63" s="15" t="n">
        <f aca="false">IF($U$36=1,$U$30,$U$33)</f>
        <v>1</v>
      </c>
    </row>
    <row r="64" customFormat="false" ht="15" hidden="false" customHeight="false" outlineLevel="0" collapsed="false">
      <c r="T64" s="15" t="s">
        <v>237</v>
      </c>
      <c r="U64" s="15" t="n">
        <f aca="false">IF($U$36=1,$U$31,$U$34)</f>
        <v>1</v>
      </c>
    </row>
    <row r="65" customFormat="false" ht="15" hidden="false" customHeight="false" outlineLevel="0" collapsed="false">
      <c r="T65" s="15" t="s">
        <v>150</v>
      </c>
      <c r="U65" s="15" t="n">
        <f aca="false">$U$37+$U$60</f>
        <v>420</v>
      </c>
    </row>
    <row r="66" customFormat="false" ht="15" hidden="false" customHeight="false" outlineLevel="0" collapsed="false">
      <c r="T66" s="15" t="s">
        <v>238</v>
      </c>
      <c r="U66" s="15" t="n">
        <f aca="false">IF($U$65&gt;=300,1,0)</f>
        <v>1</v>
      </c>
    </row>
    <row r="67" customFormat="false" ht="15" hidden="false" customHeight="false" outlineLevel="0" collapsed="false">
      <c r="T67" s="15" t="s">
        <v>239</v>
      </c>
      <c r="U67" s="15" t="n">
        <f aca="false">IF($U$47*$U$64*$U$66=1,1,0)</f>
        <v>1</v>
      </c>
    </row>
    <row r="68" customFormat="false" ht="15" hidden="false" customHeight="false" outlineLevel="0" collapsed="false">
      <c r="T68" s="15" t="s">
        <v>240</v>
      </c>
      <c r="U68" s="15" t="n">
        <f aca="false">IF($U$65&lt;300,"",MAX(10,MIN(40,INT((1020-$U$65)/18))))</f>
        <v>33</v>
      </c>
    </row>
    <row r="69" customFormat="false" ht="15" hidden="false" customHeight="false" outlineLevel="0" collapsed="false">
      <c r="T69" s="15" t="s">
        <v>241</v>
      </c>
      <c r="U69" s="15" t="n">
        <f aca="false">IF($U$68="",MAX(0,300-$U$65),IF($U$68&gt;10,1021-18*$U$68-$U$65,""))</f>
        <v>7</v>
      </c>
    </row>
    <row r="70" customFormat="false" ht="15" hidden="false" customHeight="false" outlineLevel="0" collapsed="false">
      <c r="T70" s="0" t="s">
        <v>242</v>
      </c>
      <c r="U70" s="0" t="n">
        <f aca="false">IF($U$68="","",$U$65-IF($U$68&gt;=40,300,1020-18*($U$68+1)+1))</f>
        <v>11</v>
      </c>
    </row>
  </sheetData>
  <sheetProtection sheet="true" formatCells="false" formatColumns="false" formatRows="false"/>
  <mergeCells count="1">
    <mergeCell ref="M6:N6"/>
  </mergeCells>
  <conditionalFormatting sqref="E6:H24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9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9 E11:H24 I26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1:D24" type="list">
      <formula1>"x"</formula1>
      <formula2>0</formula2>
    </dataValidation>
  </dataValidations>
  <hyperlinks>
    <hyperlink ref="B36" r:id="rId2" display="https://www.hamburg.de/resource/blob/133942/83622ebebbcb4b771d65dc3b1f1a3996/bsb-apo-ah-18-03-2009-data.pdf"/>
    <hyperlink ref="B38" r:id="rId3" display="Online-Rechner Hamburg mit Statistik und PDF-Download: https://www.abi-rechner.com/bundeslander/hamburg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Hamburg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3" t="s">
        <v>243</v>
      </c>
    </row>
    <row r="2" customFormat="false" ht="15" hidden="false" customHeight="false" outlineLevel="0" collapsed="false">
      <c r="B2" s="2" t="s">
        <v>244</v>
      </c>
    </row>
    <row r="4" customFormat="false" ht="15" hidden="false" customHeight="false" outlineLevel="0" collapsed="false">
      <c r="B4" s="41" t="s">
        <v>128</v>
      </c>
      <c r="C4" s="41" t="s">
        <v>245</v>
      </c>
      <c r="D4" s="41" t="s">
        <v>246</v>
      </c>
      <c r="F4" s="41" t="s">
        <v>247</v>
      </c>
      <c r="G4" s="41" t="s">
        <v>248</v>
      </c>
      <c r="H4" s="6" t="s">
        <v>249</v>
      </c>
    </row>
    <row r="5" customFormat="false" ht="15" hidden="false" customHeight="false" outlineLevel="0" collapsed="false">
      <c r="B5" s="54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5" t="n">
        <v>15</v>
      </c>
      <c r="G5" s="10" t="s">
        <v>250</v>
      </c>
      <c r="H5" s="11" t="s">
        <v>251</v>
      </c>
    </row>
    <row r="6" customFormat="false" ht="15" hidden="false" customHeight="false" outlineLevel="0" collapsed="false">
      <c r="B6" s="54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5" t="n">
        <v>14</v>
      </c>
      <c r="G6" s="10" t="s">
        <v>252</v>
      </c>
      <c r="H6" s="11" t="s">
        <v>251</v>
      </c>
    </row>
    <row r="7" customFormat="false" ht="15" hidden="false" customHeight="false" outlineLevel="0" collapsed="false">
      <c r="B7" s="54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5" t="n">
        <v>13</v>
      </c>
      <c r="G7" s="10" t="s">
        <v>253</v>
      </c>
      <c r="H7" s="11" t="s">
        <v>251</v>
      </c>
    </row>
    <row r="8" customFormat="false" ht="15" hidden="false" customHeight="false" outlineLevel="0" collapsed="false">
      <c r="B8" s="54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5" t="n">
        <v>12</v>
      </c>
      <c r="G8" s="10" t="s">
        <v>254</v>
      </c>
      <c r="H8" s="11" t="s">
        <v>255</v>
      </c>
    </row>
    <row r="9" customFormat="false" ht="15" hidden="false" customHeight="false" outlineLevel="0" collapsed="false">
      <c r="B9" s="54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5" t="n">
        <v>11</v>
      </c>
      <c r="G9" s="10" t="s">
        <v>256</v>
      </c>
      <c r="H9" s="11" t="s">
        <v>255</v>
      </c>
    </row>
    <row r="10" customFormat="false" ht="15" hidden="false" customHeight="false" outlineLevel="0" collapsed="false">
      <c r="B10" s="54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5" t="n">
        <v>10</v>
      </c>
      <c r="G10" s="10" t="s">
        <v>257</v>
      </c>
      <c r="H10" s="11" t="s">
        <v>255</v>
      </c>
    </row>
    <row r="11" customFormat="false" ht="15" hidden="false" customHeight="false" outlineLevel="0" collapsed="false">
      <c r="B11" s="54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5" t="n">
        <v>9</v>
      </c>
      <c r="G11" s="10" t="s">
        <v>258</v>
      </c>
      <c r="H11" s="11" t="s">
        <v>259</v>
      </c>
    </row>
    <row r="12" customFormat="false" ht="15" hidden="false" customHeight="false" outlineLevel="0" collapsed="false">
      <c r="B12" s="54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5" t="n">
        <v>8</v>
      </c>
      <c r="G12" s="10" t="s">
        <v>260</v>
      </c>
      <c r="H12" s="11" t="s">
        <v>259</v>
      </c>
    </row>
    <row r="13" customFormat="false" ht="15" hidden="false" customHeight="false" outlineLevel="0" collapsed="false">
      <c r="B13" s="54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5" t="n">
        <v>7</v>
      </c>
      <c r="G13" s="10" t="s">
        <v>261</v>
      </c>
      <c r="H13" s="11" t="s">
        <v>259</v>
      </c>
    </row>
    <row r="14" customFormat="false" ht="15" hidden="false" customHeight="false" outlineLevel="0" collapsed="false">
      <c r="B14" s="54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5" t="n">
        <v>6</v>
      </c>
      <c r="G14" s="10" t="s">
        <v>262</v>
      </c>
      <c r="H14" s="11" t="s">
        <v>263</v>
      </c>
    </row>
    <row r="15" customFormat="false" ht="15" hidden="false" customHeight="false" outlineLevel="0" collapsed="false">
      <c r="B15" s="54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5" t="n">
        <v>5</v>
      </c>
      <c r="G15" s="10" t="s">
        <v>264</v>
      </c>
      <c r="H15" s="11" t="s">
        <v>263</v>
      </c>
    </row>
    <row r="16" customFormat="false" ht="15" hidden="false" customHeight="false" outlineLevel="0" collapsed="false">
      <c r="B16" s="54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5" t="n">
        <v>4</v>
      </c>
      <c r="G16" s="10" t="s">
        <v>265</v>
      </c>
      <c r="H16" s="11" t="s">
        <v>263</v>
      </c>
    </row>
    <row r="17" customFormat="false" ht="15" hidden="false" customHeight="false" outlineLevel="0" collapsed="false">
      <c r="B17" s="54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5" t="n">
        <v>3</v>
      </c>
      <c r="G17" s="10" t="s">
        <v>266</v>
      </c>
      <c r="H17" s="11" t="s">
        <v>267</v>
      </c>
    </row>
    <row r="18" customFormat="false" ht="15" hidden="false" customHeight="false" outlineLevel="0" collapsed="false">
      <c r="B18" s="54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5" t="n">
        <v>2</v>
      </c>
      <c r="G18" s="10" t="s">
        <v>268</v>
      </c>
      <c r="H18" s="11" t="s">
        <v>267</v>
      </c>
    </row>
    <row r="19" customFormat="false" ht="15" hidden="false" customHeight="false" outlineLevel="0" collapsed="false">
      <c r="B19" s="54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5" t="n">
        <v>1</v>
      </c>
      <c r="G19" s="10" t="s">
        <v>269</v>
      </c>
      <c r="H19" s="11" t="s">
        <v>267</v>
      </c>
    </row>
    <row r="20" customFormat="false" ht="15" hidden="false" customHeight="false" outlineLevel="0" collapsed="false">
      <c r="B20" s="54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5" t="n">
        <v>0</v>
      </c>
      <c r="G20" s="10" t="s">
        <v>270</v>
      </c>
      <c r="H20" s="11" t="s">
        <v>271</v>
      </c>
    </row>
    <row r="21" customFormat="false" ht="15" hidden="false" customHeight="false" outlineLevel="0" collapsed="false">
      <c r="B21" s="54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4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272</v>
      </c>
    </row>
    <row r="23" customFormat="false" ht="15" hidden="false" customHeight="false" outlineLevel="0" collapsed="false">
      <c r="B23" s="54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4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4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4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4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4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4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4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4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4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4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4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4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273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2026-09-23T23:59:38Z</dcterms:created>
  <dc:creator>abi-rechner.com</dc:creator>
  <dc:description/>
  <cp:keywords>Abi-Rechner Abiturnote Excel Abitur 2027</cp:keywords>
  <dc:language>en-US</dc:language>
  <cp:lastModifiedBy/>
  <dcterms:modified xsi:type="dcterms:W3CDTF">2026-09-23T23:59:38Z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