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Hessen" sheetId="2" state="visible" r:id="rId4"/>
    <sheet name="Punktetabelle" sheetId="3" state="visible" r:id="rId5"/>
  </sheets>
  <definedNames>
    <definedName function="false" hidden="false" localSheetId="1" name="_xlnm.Print_Area" vbProcedure="false">Hessen!$A$1:$N$40</definedName>
    <definedName function="false" hidden="false" localSheetId="2" name="_xlnm.Print_Area" vbProcedure="false">Punktetabelle!$A$1:$H$37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<sst xmlns="http://schemas.openxmlformats.org/spreadsheetml/2006/main" count="339" uniqueCount="278">
  <si>
    <t xml:space="preserve">Abi-Rechner Hessen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</si>
  <si>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</si>
  <si>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</si>
  <si>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</si>
  <si>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</si>
  <si>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</si>
  <si>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</si>
  <si>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</si>
  <si>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</si>
  <si>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</si>
  <si>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</si>
  <si>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</si>
  <si>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</si>
  <si>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</si>
  <si>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</si>
  <si>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</si>
  <si>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</si>
  <si>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</si>
  <si>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</si>
  <si>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</si>
  <si>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</si>
  <si>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</si>
  <si>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Hessen</t>
  </si>
  <si>
    <t xml:space="preserve">32</t>
  </si>
  <si>
    <t xml:space="preserve">5</t>
  </si>
  <si>
    <t xml:space="preserve">Abitur 2027 (OAVO)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</si>
  <si>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</si>
  <si>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</si>
  <si>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</si>
  <si>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</si>
  <si>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</si>
  <si>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</si>
  <si>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</si>
  <si>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Hessen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</si>
  <si>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</si>
  <si>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</si>
  <si>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</si>
  <si>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</si>
  <si>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</si>
  <si>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(OAVO)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</si>
  <si>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</si>
  <si>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</si>
  <si>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</si>
  <si>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</si>
  <si>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</si>
  <si>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</si>
  <si>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</si>
  <si>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</si>
  <si>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</si>
  <si>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</si>
  <si>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</si>
  <si>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</si>
  <si>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</si>
  <si>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</si>
  <si>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</si>
  <si>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</si>
  <si>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</si>
  <si>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</si>
  <si>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</si>
  <si>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</si>
  <si>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</si>
  <si>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</si>
  <si>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</si>
  <si>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</si>
  <si>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</si>
  <si>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</si>
  <si>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</si>
  <si>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</si>
  <si>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</si>
  <si>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</si>
  <si>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</si>
  <si>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</si>
  <si>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</si>
  <si>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</si>
  <si>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</si>
  <si>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</si>
  <si>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</si>
  <si>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</si>
  <si>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</si>
  <si>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</si>
  <si>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</si>
  <si>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</si>
  <si>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</si>
  <si>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</si>
  <si>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</si>
  <si>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</si>
  <si>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</si>
  <si>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</si>
  <si>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</si>
  <si>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</si>
  <si>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</si>
  <si>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</si>
  <si>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</si>
  <si>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</si>
  <si>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</si>
  <si>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</si>
  <si>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</si>
  <si>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</si>
  <si>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</si>
  <si>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</si>
  <si>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</si>
  <si>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</si>
  <si>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</si>
  <si>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</si>
  <si>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</si>
  <si>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</si>
  <si>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</si>
  <si>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</si>
  <si>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</si>
  <si>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Leistungskurs, schriftlich · zählt doppelt</t>
  </si>
  <si>
    <t xml:space="preserve">Abi</t>
  </si>
  <si>
    <t xml:space="preserve">Status</t>
  </si>
  <si>
    <t xml:space="preserve">fehlende Pflicht-Halbjahre</t>
  </si>
  <si>
    <t xml:space="preserve">2. Prüfungsfach
Leistungskurs, schriftlich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</si>
  <si>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</si>
  <si>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</si>
  <si>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</si>
  <si>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Grundkurs,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</si>
  <si>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</si>
  <si>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</si>
  <si>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</si>
  <si>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Grundkurs, mündlich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</si>
  <si>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</si>
  <si>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</si>
  <si>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</si>
  <si>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</si>
  <si>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5. Prüfungsfach
Präsentation, BLL oder mündlich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</si>
  <si>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</si>
  <si>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</si>
  <si>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</si>
  <si>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</si>
  <si>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</si>
  <si>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</si>
  <si>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</si>
  <si>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</si>
  <si>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</si>
  <si>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</si>
  <si>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</si>
  <si>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</si>
  <si>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</si>
  <si>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</si>
  <si>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</si>
  <si>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</si>
  <si>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</si>
  <si>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beste Variante A</t>
  </si>
  <si>
    <t xml:space="preserve">Kurs 3</t>
  </si>
  <si>
    <t xml:space="preserve">Unterkurse (unter 5 Punkten)</t>
  </si>
  <si>
    <t xml:space="preserve">beste Variante F</t>
  </si>
  <si>
    <t xml:space="preserve">Kurs 4</t>
  </si>
  <si>
    <t xml:space="preserve">Hebel: +1 Punkt in einer Prüfung</t>
  </si>
  <si>
    <t xml:space="preserve">Gesamtpunkte</t>
  </si>
  <si>
    <t xml:space="preserve">Faktor Prüfungen</t>
  </si>
  <si>
    <t xml:space="preserve">Kurs 5</t>
  </si>
  <si>
    <t xml:space="preserve">Hebel: +1 Punkt in einem Halbjahr</t>
  </si>
  <si>
    <t xml:space="preserve">Gesamtpunkt (Pflicht-/eingebrachtes HJ)</t>
  </si>
  <si>
    <t xml:space="preserve">Block II A</t>
  </si>
  <si>
    <t xml:space="preserve">Kurs 6</t>
  </si>
  <si>
    <t xml:space="preserve">&gt;=5 Punkte A</t>
  </si>
  <si>
    <t xml:space="preserve">Kurs 7</t>
  </si>
  <si>
    <t xml:space="preserve">Bedingungen für die Zulassung / das Bestehen</t>
  </si>
  <si>
    <t xml:space="preserve">Wert</t>
  </si>
  <si>
    <t xml:space="preserve">&gt;=5 in Pflichtfächern A</t>
  </si>
  <si>
    <t xml:space="preserve">Kurs 8</t>
  </si>
  <si>
    <t xml:space="preserve">Block I mindestens 200 Punkte</t>
  </si>
  <si>
    <t xml:space="preserve">Prüfung 0 A</t>
  </si>
  <si>
    <t xml:space="preserve">Kurs 9</t>
  </si>
  <si>
    <t xml:space="preserve">unter Mindestpunktzahl A</t>
  </si>
  <si>
    <t xml:space="preserve">Kurs 10</t>
  </si>
  <si>
    <t xml:space="preserve">Höchstens 2 Unterkurse in den Leistungs-/eA-Fächern</t>
  </si>
  <si>
    <t xml:space="preserve">Block II F</t>
  </si>
  <si>
    <t xml:space="preserve">Kurs 11</t>
  </si>
  <si>
    <t xml:space="preserve">Leistungskurse mindestens 80 Punkte (doppelt gewertet)</t>
  </si>
  <si>
    <t xml:space="preserve">&gt;=5 Punkte F</t>
  </si>
  <si>
    <t xml:space="preserve">Kurs 12</t>
  </si>
  <si>
    <t xml:space="preserve">Grundkurse mindestens 120 Punkte</t>
  </si>
  <si>
    <t xml:space="preserve">&gt;=5 in Pflichtfächern F</t>
  </si>
  <si>
    <t xml:space="preserve">Kurs 13</t>
  </si>
  <si>
    <t xml:space="preserve">Keine Pflicht-Halbjahre mit 0 Punkten</t>
  </si>
  <si>
    <t xml:space="preserve">Prüfung 0 F</t>
  </si>
  <si>
    <t xml:space="preserve">Kurs 14</t>
  </si>
  <si>
    <t xml:space="preserve">Nicht mehr Pflichtkurse markiert, als eingebracht werden dürfen</t>
  </si>
  <si>
    <t xml:space="preserve">unter Mindestpunktzahl F</t>
  </si>
  <si>
    <t xml:space="preserve">Block II mindestens 100 Punkte</t>
  </si>
  <si>
    <t xml:space="preserve">nötige Prüfungen &gt;=5</t>
  </si>
  <si>
    <t xml:space="preserve">fehlende Prüfungen</t>
  </si>
  <si>
    <t xml:space="preserve">Die Regeln in Hessen kurz erklärt</t>
  </si>
  <si>
    <t xml:space="preserve">Keine Prüfung mit 0 Punkten</t>
  </si>
  <si>
    <t xml:space="preserve">B2 Bedingung 0 A</t>
  </si>
  <si>
    <t xml:space="preserve">• 8 Leistungskurse (doppelt) + 24 Grundkurse, direkt addiert.</t>
  </si>
  <si>
    <t xml:space="preserve">Gesamtpunktzahl mindestens 300</t>
  </si>
  <si>
    <t xml:space="preserve">B2 Bedingung 1 A</t>
  </si>
  <si>
    <t xml:space="preserve">• Mindestens 80 Punkte im LK-Bereich und 120 Punkte im GK-Bereich.</t>
  </si>
  <si>
    <t xml:space="preserve">B2 Bedingung 2 A</t>
  </si>
  <si>
    <t xml:space="preserve">• Höchstens 6 Kurse unter 5 Punkten, davon höchstens 2 LK-Kurse; keine 0 Punkte.</t>
  </si>
  <si>
    <t xml:space="preserve">Legende</t>
  </si>
  <si>
    <t xml:space="preserve">B2 gültig A</t>
  </si>
  <si>
    <t xml:space="preserve">• Block II: 5 Prüfungsfächer, jeweils vierfach.</t>
  </si>
  <si>
    <t xml:space="preserve">Eingabefeld (Punkte 0–15)</t>
  </si>
  <si>
    <t xml:space="preserve">B2 Bedingung 0 F</t>
  </si>
  <si>
    <t xml:space="preserve">• Bestehen Block II: mind. 100 Punkte, in 3 Fächern (darunter ein LK) mind. 5 Punkte, kein Fach mit 0 Punkten.</t>
  </si>
  <si>
    <t xml:space="preserve">Halbjahr wird eingebracht</t>
  </si>
  <si>
    <t xml:space="preserve">B2 Bedingung 1 F</t>
  </si>
  <si>
    <t xml:space="preserve">eingebracht, aber Unterkurs (unter 5 Punkten)</t>
  </si>
  <si>
    <t xml:space="preserve">B2 Bedingung 2 F</t>
  </si>
  <si>
    <t xml:space="preserve">Quelle: OAVO Hessen § 26</t>
  </si>
  <si>
    <t xml:space="preserve">wird nicht eingebracht (Streichergebnis)</t>
  </si>
  <si>
    <t xml:space="preserve">B2 gültig F</t>
  </si>
  <si>
    <t xml:space="preserve">https://www.rv.hessenrecht.hessen.de/bshe/document/hevr-OSt_AbiVHEV14IVZ</t>
  </si>
  <si>
    <t xml:space="preserve">fehlende Eingaben</t>
  </si>
  <si>
    <t xml:space="preserve">Die Tabelle wählt automatisch die günstigsten Halbjahre aus.</t>
  </si>
  <si>
    <t xml:space="preserve">vollständig</t>
  </si>
  <si>
    <t xml:space="preserve">Online-Rechner Hessen mit Statistik und PDF-Download: https://www.abi-rechner.com/bundeslander/hessen/</t>
  </si>
  <si>
    <t xml:space="preserve">Blattschutz ohne Passwort: Überprüfen → Blatt schützen aufheben.</t>
  </si>
  <si>
    <t xml:space="preserve">m_pts</t>
  </si>
  <si>
    <t xml:space="preserve">Alle Angaben ohne Gewähr. Maßgeblich ist die Oberstufenverordnung deines Landes und die Auskunft deiner Schule.</t>
  </si>
  <si>
    <t xml:space="preserve">m_cnt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</si>
  <si>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</si>
  <si>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</si>
  <si>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</si>
  <si>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</si>
  <si>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</si>
  <si>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</si>
  <si>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</si>
  <si>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</si>
  <si>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</si>
  <si>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</si>
  <si>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</si>
  <si>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</si>
  <si>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</si>
  <si>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</si>
  <si>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</si>
  <si>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</si>
  <si>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</si>
  <si>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</si>
  <si>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</si>
  <si>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</si>
  <si>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</si>
  <si>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</si>
  <si>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</si>
  <si>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</si>
  <si>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</si>
  <si>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m_b2c2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</si>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</sst>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C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rv.hessenrecht.hessen.de/bshe/document/hevr-OSt_AbiVHEV14IVZ" TargetMode="External"/><Relationship Id="rId3" Type="http://schemas.openxmlformats.org/officeDocument/2006/relationships/hyperlink" Target="https://www.abi-rechner.com/bundeslander/hesse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Hessen'!A1" display="Hesse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12</v>
      </c>
      <c r="CG3" s="15" t="n">
        <f aca="false">MAX(0,CF3)</f>
        <v>12</v>
      </c>
      <c r="CH3" s="15" t="n">
        <f aca="false">MIN(CG3,$U$7)</f>
        <v>0</v>
      </c>
      <c r="CI3" s="15" t="n">
        <f aca="false">CG3-CH3</f>
        <v>12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MIN(600,INT((CO3)+0.5+0.000000001))</f>
        <v>0</v>
      </c>
      <c r="CR3" s="15" t="n">
        <f aca="false">$U$9+CT3</f>
        <v>0</v>
      </c>
      <c r="CS3" s="15" t="n">
        <f aca="false">6</f>
        <v>6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IF($U$9&lt;=2,1,0)</f>
        <v>1</v>
      </c>
      <c r="CY3" s="15" t="n">
        <f aca="false">1</f>
        <v>1</v>
      </c>
      <c r="CZ3" s="15" t="n">
        <f aca="false">IF(CL3&gt;=80-0.000000001,1,0)</f>
        <v>0</v>
      </c>
      <c r="DA3" s="15" t="n">
        <f aca="false">IF(CU3&gt;=120-0.000000001,1,0)</f>
        <v>0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ein.",IF($U$37=1,"Endergebnis (alle Felder ausgefüllt)","Prognose: "&amp;$U$36&amp;"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IF($U$4=0,"",$U$38)</f>
        <v/>
      </c>
      <c r="N7" s="29" t="s">
        <v>115</v>
      </c>
      <c r="T7" s="15" t="s">
        <v>116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IF($U$4=0,"",$U$61)</f>
        <v/>
      </c>
      <c r="N8" s="29" t="s">
        <v>119</v>
      </c>
      <c r="T8" s="15" t="s">
        <v>120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IF($U$4=0,"",$U$67)</f>
        <v/>
      </c>
      <c r="N9" s="29" t="s">
        <v>124</v>
      </c>
      <c r="T9" s="15" t="s">
        <v>125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126</v>
      </c>
      <c r="C10" s="22"/>
      <c r="D10" s="23" t="s">
        <v>110</v>
      </c>
      <c r="E10" s="24"/>
      <c r="F10" s="24"/>
      <c r="G10" s="24"/>
      <c r="H10" s="24"/>
      <c r="I10" s="25"/>
      <c r="J10" s="30" t="s">
        <v>122</v>
      </c>
      <c r="L10" s="31" t="s">
        <v>127</v>
      </c>
      <c r="M10" s="33" t="str">
        <f aca="false">IF($U$4=0,"",IF($U$69=1,$U$70/10,"nicht bestanden"))</f>
        <v/>
      </c>
      <c r="N10" s="29"/>
      <c r="T10" s="15" t="s">
        <v>128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129</v>
      </c>
      <c r="C11" s="6" t="s">
        <v>74</v>
      </c>
      <c r="D11" s="34" t="s">
        <v>130</v>
      </c>
      <c r="E11" s="35" t="s">
        <v>75</v>
      </c>
      <c r="F11" s="35" t="s">
        <v>76</v>
      </c>
      <c r="G11" s="35" t="s">
        <v>77</v>
      </c>
      <c r="H11" s="35" t="s">
        <v>78</v>
      </c>
      <c r="I11" s="20"/>
      <c r="J11" s="20"/>
      <c r="L11" s="26" t="s">
        <v>131</v>
      </c>
      <c r="M11" s="28" t="str">
        <f aca="false">IF($U$4=0,"",IF($U$71="","–",$U$71))</f>
        <v/>
      </c>
      <c r="N11" s="29" t="str">
        <f aca="false">IF($U$4=0,"",IF($U$70="","Punkte bis 300",IF($U$71="","Bestnote erreicht","Punkte → "&amp;FIXED(($U$70-1)/10,1))))</f>
        <v/>
      </c>
      <c r="T11" s="15" t="s">
        <v>132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133</v>
      </c>
      <c r="Y11" s="15" t="s">
        <v>134</v>
      </c>
      <c r="Z11" s="15" t="s">
        <v>135</v>
      </c>
      <c r="AA11" s="15" t="s">
        <v>136</v>
      </c>
      <c r="AB11" s="15" t="s">
        <v>89</v>
      </c>
      <c r="AC11" s="15" t="s">
        <v>90</v>
      </c>
      <c r="AD11" s="15" t="s">
        <v>137</v>
      </c>
      <c r="AE11" s="15" t="s">
        <v>138</v>
      </c>
      <c r="AF11" s="15" t="s">
        <v>97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IF(OR($U$4=0,$U$72=""),"",$U$72)</f>
        <v/>
      </c>
      <c r="N12" s="29" t="str">
        <f aca="false">IF(OR($U$4=0,$U$72=""),"","Punkte Luft")</f>
        <v/>
      </c>
      <c r="T12" s="15" t="s">
        <v>141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IF(Y12=1,IF(ISNUMBER(E12),1,0),IF(AH12="",0,IF(IF($U$37=1,COUNTIF($AH$6:$AK$25,"&gt;"&amp;AH12),COUNTIF($AM$6:$AP$25,"&gt;"&amp;AH12))+COUNTIF($AH$6:$AK$11,AH12)+1&lt;=$U$47,1,0)))</f>
        <v>0</v>
      </c>
      <c r="AS12" s="15" t="n">
        <f aca="false">IF(Y12=1,IF(ISNUMBER(F12),1,0),IF(AI12="",0,IF(IF($U$37=1,COUNTIF($AH$6:$AK$25,"&gt;"&amp;AI12),COUNTIF($AM$6:$AP$25,"&gt;"&amp;AI12))+COUNTIF($AH$6:$AK$11,AI12)+COUNTIF($AH12:AH12,AI12)+1&lt;=$U$47,1,0)))</f>
        <v>0</v>
      </c>
      <c r="AT12" s="15" t="n">
        <f aca="false">IF(Y12=1,IF(ISNUMBER(G12),1,0),IF(AJ12="",0,IF(IF($U$37=1,COUNTIF($AH$6:$AK$25,"&gt;"&amp;AJ12),COUNTIF($AM$6:$AP$25,"&gt;"&amp;AJ12))+COUNTIF($AH$6:$AK$11,AJ12)+COUNTIF($AH12:AI12,AJ12)+1&lt;=$U$47,1,0)))</f>
        <v>0</v>
      </c>
      <c r="AU12" s="15" t="n">
        <f aca="false">IF(Y12=1,IF(ISNUMBER(H12),1,0),IF(AK12="",0,IF(IF($U$37=1,COUNTIF($AH$6:$AK$25,"&gt;"&amp;AK12),COUNTIF($AM$6:$AP$25,"&gt;"&amp;AK12))+COUNTIF($AH$6:$AK$11,AK12)+COUNTIF($AH12:AJ12,AK12)+1&lt;=$U$47,1,0)))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IF($U$4=0,"",$U$39)</f>
        <v/>
      </c>
      <c r="N13" s="29" t="str">
        <f aca="false">IF($U$4=0,"","Summe der eingebrachten Punkte")</f>
        <v/>
      </c>
      <c r="T13" s="15" t="s">
        <v>144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IF(Y13=1,IF(ISNUMBER(E13),1,0),IF(AH13="",0,IF(IF($U$37=1,COUNTIF($AH$6:$AK$25,"&gt;"&amp;AH13),COUNTIF($AM$6:$AP$25,"&gt;"&amp;AH13))+COUNTIF($AH$6:$AK$12,AH13)+1&lt;=$U$47,1,0)))</f>
        <v>0</v>
      </c>
      <c r="AS13" s="15" t="n">
        <f aca="false">IF(Y13=1,IF(ISNUMBER(F13),1,0),IF(AI13="",0,IF(IF($U$37=1,COUNTIF($AH$6:$AK$25,"&gt;"&amp;AI13),COUNTIF($AM$6:$AP$25,"&gt;"&amp;AI13))+COUNTIF($AH$6:$AK$12,AI13)+COUNTIF($AH13:AH13,AI13)+1&lt;=$U$47,1,0)))</f>
        <v>0</v>
      </c>
      <c r="AT13" s="15" t="n">
        <f aca="false">IF(Y13=1,IF(ISNUMBER(G13),1,0),IF(AJ13="",0,IF(IF($U$37=1,COUNTIF($AH$6:$AK$25,"&gt;"&amp;AJ13),COUNTIF($AM$6:$AP$25,"&gt;"&amp;AJ13))+COUNTIF($AH$6:$AK$12,AJ13)+COUNTIF($AH13:AI13,AJ13)+1&lt;=$U$47,1,0)))</f>
        <v>0</v>
      </c>
      <c r="AU13" s="15" t="n">
        <f aca="false">IF(Y13=1,IF(ISNUMBER(H13),1,0),IF(AK13="",0,IF(IF($U$37=1,COUNTIF($AH$6:$AK$25,"&gt;"&amp;AK13),COUNTIF($AM$6:$AP$25,"&gt;"&amp;AK13))+COUNTIF($AH$6:$AK$12,AK13)+COUNTIF($AH13:AJ13,AK13)+1&lt;=$U$47,1,0)))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IF($U$4=0,"",$U$40)</f>
        <v/>
      </c>
      <c r="N14" s="29" t="str">
        <f aca="false">IF($U$4=0,"","erlaubt: höchstens "&amp;$U$41)</f>
        <v/>
      </c>
      <c r="T14" s="15" t="s">
        <v>147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IF(Y14=1,IF(ISNUMBER(E14),1,0),IF(AH14="",0,IF(IF($U$37=1,COUNTIF($AH$6:$AK$25,"&gt;"&amp;AH14),COUNTIF($AM$6:$AP$25,"&gt;"&amp;AH14))+COUNTIF($AH$6:$AK$13,AH14)+1&lt;=$U$47,1,0)))</f>
        <v>0</v>
      </c>
      <c r="AS14" s="15" t="n">
        <f aca="false">IF(Y14=1,IF(ISNUMBER(F14),1,0),IF(AI14="",0,IF(IF($U$37=1,COUNTIF($AH$6:$AK$25,"&gt;"&amp;AI14),COUNTIF($AM$6:$AP$25,"&gt;"&amp;AI14))+COUNTIF($AH$6:$AK$13,AI14)+COUNTIF($AH14:AH14,AI14)+1&lt;=$U$47,1,0)))</f>
        <v>0</v>
      </c>
      <c r="AT14" s="15" t="n">
        <f aca="false">IF(Y14=1,IF(ISNUMBER(G14),1,0),IF(AJ14="",0,IF(IF($U$37=1,COUNTIF($AH$6:$AK$25,"&gt;"&amp;AJ14),COUNTIF($AM$6:$AP$25,"&gt;"&amp;AJ14))+COUNTIF($AH$6:$AK$13,AJ14)+COUNTIF($AH14:AI14,AJ14)+1&lt;=$U$47,1,0)))</f>
        <v>0</v>
      </c>
      <c r="AU14" s="15" t="n">
        <f aca="false">IF(Y14=1,IF(ISNUMBER(H14),1,0),IF(AK14="",0,IF(IF($U$37=1,COUNTIF($AH$6:$AK$25,"&gt;"&amp;AK14),COUNTIF($AM$6:$AP$25,"&gt;"&amp;AK14))+COUNTIF($AH$6:$AK$13,AK14)+COUNTIF($AH14:AJ14,AK14)+1&lt;=$U$47,1,0)))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IF($U$4=0,"","+"&amp;$U$15)</f>
        <v/>
      </c>
      <c r="N15" s="29" t="s">
        <v>150</v>
      </c>
      <c r="T15" s="15" t="s">
        <v>151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IF(Y15=1,IF(ISNUMBER(E15),1,0),IF(AH15="",0,IF(IF($U$37=1,COUNTIF($AH$6:$AK$25,"&gt;"&amp;AH15),COUNTIF($AM$6:$AP$25,"&gt;"&amp;AH15))+COUNTIF($AH$6:$AK$14,AH15)+1&lt;=$U$47,1,0)))</f>
        <v>0</v>
      </c>
      <c r="AS15" s="15" t="n">
        <f aca="false">IF(Y15=1,IF(ISNUMBER(F15),1,0),IF(AI15="",0,IF(IF($U$37=1,COUNTIF($AH$6:$AK$25,"&gt;"&amp;AI15),COUNTIF($AM$6:$AP$25,"&gt;"&amp;AI15))+COUNTIF($AH$6:$AK$14,AI15)+COUNTIF($AH15:AH15,AI15)+1&lt;=$U$47,1,0)))</f>
        <v>0</v>
      </c>
      <c r="AT15" s="15" t="n">
        <f aca="false">IF(Y15=1,IF(ISNUMBER(G15),1,0),IF(AJ15="",0,IF(IF($U$37=1,COUNTIF($AH$6:$AK$25,"&gt;"&amp;AJ15),COUNTIF($AM$6:$AP$25,"&gt;"&amp;AJ15))+COUNTIF($AH$6:$AK$14,AJ15)+COUNTIF($AH15:AI15,AJ15)+1&lt;=$U$47,1,0)))</f>
        <v>0</v>
      </c>
      <c r="AU15" s="15" t="n">
        <f aca="false">IF(Y15=1,IF(ISNUMBER(H15),1,0),IF(AK15="",0,IF(IF($U$37=1,COUNTIF($AH$6:$AK$25,"&gt;"&amp;AK15),COUNTIF($AM$6:$AP$25,"&gt;"&amp;AK15))+COUNTIF($AH$6:$AK$14,AK15)+COUNTIF($AH15:AJ15,AK15)+1&lt;=$U$47,1,0)))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IF($U$4=0,"","+1")</f>
        <v/>
      </c>
      <c r="N16" s="29" t="s">
        <v>154</v>
      </c>
      <c r="T16" s="15" t="s">
        <v>155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IF(Y16=1,IF(ISNUMBER(E16),1,0),IF(AH16="",0,IF(IF($U$37=1,COUNTIF($AH$6:$AK$25,"&gt;"&amp;AH16),COUNTIF($AM$6:$AP$25,"&gt;"&amp;AH16))+COUNTIF($AH$6:$AK$15,AH16)+1&lt;=$U$47,1,0)))</f>
        <v>0</v>
      </c>
      <c r="AS16" s="15" t="n">
        <f aca="false">IF(Y16=1,IF(ISNUMBER(F16),1,0),IF(AI16="",0,IF(IF($U$37=1,COUNTIF($AH$6:$AK$25,"&gt;"&amp;AI16),COUNTIF($AM$6:$AP$25,"&gt;"&amp;AI16))+COUNTIF($AH$6:$AK$15,AI16)+COUNTIF($AH16:AH16,AI16)+1&lt;=$U$47,1,0)))</f>
        <v>0</v>
      </c>
      <c r="AT16" s="15" t="n">
        <f aca="false">IF(Y16=1,IF(ISNUMBER(G16),1,0),IF(AJ16="",0,IF(IF($U$37=1,COUNTIF($AH$6:$AK$25,"&gt;"&amp;AJ16),COUNTIF($AM$6:$AP$25,"&gt;"&amp;AJ16))+COUNTIF($AH$6:$AK$15,AJ16)+COUNTIF($AH16:AI16,AJ16)+1&lt;=$U$47,1,0)))</f>
        <v>0</v>
      </c>
      <c r="AU16" s="15" t="n">
        <f aca="false">IF(Y16=1,IF(ISNUMBER(H16),1,0),IF(AK16="",0,IF(IF($U$37=1,COUNTIF($AH$6:$AK$25,"&gt;"&amp;AK16),COUNTIF($AM$6:$AP$25,"&gt;"&amp;AK16))+COUNTIF($AH$6:$AK$15,AK16)+COUNTIF($AH16:AJ16,AK16)+1&lt;=$U$47,1,0)))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IF(Y17=1,IF(ISNUMBER(E17),1,0),IF(AH17="",0,IF(IF($U$37=1,COUNTIF($AH$6:$AK$25,"&gt;"&amp;AH17),COUNTIF($AM$6:$AP$25,"&gt;"&amp;AH17))+COUNTIF($AH$6:$AK$16,AH17)+1&lt;=$U$47,1,0)))</f>
        <v>0</v>
      </c>
      <c r="AS17" s="15" t="n">
        <f aca="false">IF(Y17=1,IF(ISNUMBER(F17),1,0),IF(AI17="",0,IF(IF($U$37=1,COUNTIF($AH$6:$AK$25,"&gt;"&amp;AI17),COUNTIF($AM$6:$AP$25,"&gt;"&amp;AI17))+COUNTIF($AH$6:$AK$16,AI17)+COUNTIF($AH17:AH17,AI17)+1&lt;=$U$47,1,0)))</f>
        <v>0</v>
      </c>
      <c r="AT17" s="15" t="n">
        <f aca="false">IF(Y17=1,IF(ISNUMBER(G17),1,0),IF(AJ17="",0,IF(IF($U$37=1,COUNTIF($AH$6:$AK$25,"&gt;"&amp;AJ17),COUNTIF($AM$6:$AP$25,"&gt;"&amp;AJ17))+COUNTIF($AH$6:$AK$16,AJ17)+COUNTIF($AH17:AI17,AJ17)+1&lt;=$U$47,1,0)))</f>
        <v>0</v>
      </c>
      <c r="AU17" s="15" t="n">
        <f aca="false">IF(Y17=1,IF(ISNUMBER(H17),1,0),IF(AK17="",0,IF(IF($U$37=1,COUNTIF($AH$6:$AK$25,"&gt;"&amp;AK17),COUNTIF($AM$6:$AP$25,"&gt;"&amp;AK17))+COUNTIF($AH$6:$AK$16,AK17)+COUNTIF($AH17:AJ17,AK17)+1&lt;=$U$47,1,0)))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IF(Y18=1,IF(ISNUMBER(E18),1,0),IF(AH18="",0,IF(IF($U$37=1,COUNTIF($AH$6:$AK$25,"&gt;"&amp;AH18),COUNTIF($AM$6:$AP$25,"&gt;"&amp;AH18))+COUNTIF($AH$6:$AK$17,AH18)+1&lt;=$U$47,1,0)))</f>
        <v>0</v>
      </c>
      <c r="AS18" s="15" t="n">
        <f aca="false">IF(Y18=1,IF(ISNUMBER(F18),1,0),IF(AI18="",0,IF(IF($U$37=1,COUNTIF($AH$6:$AK$25,"&gt;"&amp;AI18),COUNTIF($AM$6:$AP$25,"&gt;"&amp;AI18))+COUNTIF($AH$6:$AK$17,AI18)+COUNTIF($AH18:AH18,AI18)+1&lt;=$U$47,1,0)))</f>
        <v>0</v>
      </c>
      <c r="AT18" s="15" t="n">
        <f aca="false">IF(Y18=1,IF(ISNUMBER(G18),1,0),IF(AJ18="",0,IF(IF($U$37=1,COUNTIF($AH$6:$AK$25,"&gt;"&amp;AJ18),COUNTIF($AM$6:$AP$25,"&gt;"&amp;AJ18))+COUNTIF($AH$6:$AK$17,AJ18)+COUNTIF($AH18:AI18,AJ18)+1&lt;=$U$47,1,0)))</f>
        <v>0</v>
      </c>
      <c r="AU18" s="15" t="n">
        <f aca="false">IF(Y18=1,IF(ISNUMBER(H18),1,0),IF(AK18="",0,IF(IF($U$37=1,COUNTIF($AH$6:$AK$25,"&gt;"&amp;AK18),COUNTIF($AM$6:$AP$25,"&gt;"&amp;AK18))+COUNTIF($AH$6:$AK$17,AK18)+COUNTIF($AH18:AJ18,AK18)+1&lt;=$U$47,1,0)))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IF($U$4=0,"",IF($U$49=1,"✓ erfüllt","✗ nicht erfüllt"))</f>
        <v/>
      </c>
      <c r="N19" s="36" t="str">
        <f aca="false">IF($U$4=0,"",$U$38&amp;" Punkte")</f>
        <v/>
      </c>
      <c r="T19" s="15" t="s">
        <v>164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IF(Y19=1,IF(ISNUMBER(E19),1,0),IF(AH19="",0,IF(IF($U$37=1,COUNTIF($AH$6:$AK$25,"&gt;"&amp;AH19),COUNTIF($AM$6:$AP$25,"&gt;"&amp;AH19))+COUNTIF($AH$6:$AK$18,AH19)+1&lt;=$U$47,1,0)))</f>
        <v>0</v>
      </c>
      <c r="AS19" s="15" t="n">
        <f aca="false">IF(Y19=1,IF(ISNUMBER(F19),1,0),IF(AI19="",0,IF(IF($U$37=1,COUNTIF($AH$6:$AK$25,"&gt;"&amp;AI19),COUNTIF($AM$6:$AP$25,"&gt;"&amp;AI19))+COUNTIF($AH$6:$AK$18,AI19)+COUNTIF($AH19:AH19,AI19)+1&lt;=$U$47,1,0)))</f>
        <v>0</v>
      </c>
      <c r="AT19" s="15" t="n">
        <f aca="false">IF(Y19=1,IF(ISNUMBER(G19),1,0),IF(AJ19="",0,IF(IF($U$37=1,COUNTIF($AH$6:$AK$25,"&gt;"&amp;AJ19),COUNTIF($AM$6:$AP$25,"&gt;"&amp;AJ19))+COUNTIF($AH$6:$AK$18,AJ19)+COUNTIF($AH19:AI19,AJ19)+1&lt;=$U$47,1,0)))</f>
        <v>0</v>
      </c>
      <c r="AU19" s="15" t="n">
        <f aca="false">IF(Y19=1,IF(ISNUMBER(H19),1,0),IF(AK19="",0,IF(IF($U$37=1,COUNTIF($AH$6:$AK$25,"&gt;"&amp;AK19),COUNTIF($AM$6:$AP$25,"&gt;"&amp;AK19))+COUNTIF($AH$6:$AK$18,AK19)+COUNTIF($AH19:AJ19,AK19)+1&lt;=$U$47,1,0)))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"&amp;$U$41&amp;" Unterkurse (unter 5 Punkten)"</f>
        <v>Höchstens 6 Unterkurse (unter 5 Punkten)</v>
      </c>
      <c r="M20" s="43" t="str">
        <f aca="false">IF($U$4=0,"",IF($U$50=1,"✓ erfüllt","✗ nicht erfüllt"))</f>
        <v/>
      </c>
      <c r="N20" s="36" t="str">
        <f aca="false">IF($U$4=0,"",$U$40&amp;" Unterkurse")</f>
        <v/>
      </c>
      <c r="T20" s="15" t="s">
        <v>166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IF(Y20=1,IF(ISNUMBER(E20),1,0),IF(AH20="",0,IF(IF($U$37=1,COUNTIF($AH$6:$AK$25,"&gt;"&amp;AH20),COUNTIF($AM$6:$AP$25,"&gt;"&amp;AH20))+COUNTIF($AH$6:$AK$19,AH20)+1&lt;=$U$47,1,0)))</f>
        <v>0</v>
      </c>
      <c r="AS20" s="15" t="n">
        <f aca="false">IF(Y20=1,IF(ISNUMBER(F20),1,0),IF(AI20="",0,IF(IF($U$37=1,COUNTIF($AH$6:$AK$25,"&gt;"&amp;AI20),COUNTIF($AM$6:$AP$25,"&gt;"&amp;AI20))+COUNTIF($AH$6:$AK$19,AI20)+COUNTIF($AH20:AH20,AI20)+1&lt;=$U$47,1,0)))</f>
        <v>0</v>
      </c>
      <c r="AT20" s="15" t="n">
        <f aca="false">IF(Y20=1,IF(ISNUMBER(G20),1,0),IF(AJ20="",0,IF(IF($U$37=1,COUNTIF($AH$6:$AK$25,"&gt;"&amp;AJ20),COUNTIF($AM$6:$AP$25,"&gt;"&amp;AJ20))+COUNTIF($AH$6:$AK$19,AJ20)+COUNTIF($AH20:AI20,AJ20)+1&lt;=$U$47,1,0)))</f>
        <v>0</v>
      </c>
      <c r="AU20" s="15" t="n">
        <f aca="false">IF(Y20=1,IF(ISNUMBER(H20),1,0),IF(AK20="",0,IF(IF($U$37=1,COUNTIF($AH$6:$AK$25,"&gt;"&amp;AK20),COUNTIF($AM$6:$AP$25,"&gt;"&amp;AK20))+COUNTIF($AH$6:$AK$19,AK20)+COUNTIF($AH20:AJ20,AK20)+1&lt;=$U$47,1,0)))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IF($U$4=0,"",IF($U$51=1,"✓ erfüllt","✗ nicht erfüllt"))</f>
        <v/>
      </c>
      <c r="N21" s="36" t="str">
        <f aca="false">IF($U$4=0,"",$U$60&amp;" Unterkurse")</f>
        <v/>
      </c>
      <c r="T21" s="15" t="s">
        <v>169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IF(Y21=1,IF(ISNUMBER(E21),1,0),IF(AH21="",0,IF(IF($U$37=1,COUNTIF($AH$6:$AK$25,"&gt;"&amp;AH21),COUNTIF($AM$6:$AP$25,"&gt;"&amp;AH21))+COUNTIF($AH$6:$AK$20,AH21)+1&lt;=$U$47,1,0)))</f>
        <v>0</v>
      </c>
      <c r="AS21" s="15" t="n">
        <f aca="false">IF(Y21=1,IF(ISNUMBER(F21),1,0),IF(AI21="",0,IF(IF($U$37=1,COUNTIF($AH$6:$AK$25,"&gt;"&amp;AI21),COUNTIF($AM$6:$AP$25,"&gt;"&amp;AI21))+COUNTIF($AH$6:$AK$20,AI21)+COUNTIF($AH21:AH21,AI21)+1&lt;=$U$47,1,0)))</f>
        <v>0</v>
      </c>
      <c r="AT21" s="15" t="n">
        <f aca="false">IF(Y21=1,IF(ISNUMBER(G21),1,0),IF(AJ21="",0,IF(IF($U$37=1,COUNTIF($AH$6:$AK$25,"&gt;"&amp;AJ21),COUNTIF($AM$6:$AP$25,"&gt;"&amp;AJ21))+COUNTIF($AH$6:$AK$20,AJ21)+COUNTIF($AH21:AI21,AJ21)+1&lt;=$U$47,1,0)))</f>
        <v>0</v>
      </c>
      <c r="AU21" s="15" t="n">
        <f aca="false">IF(Y21=1,IF(ISNUMBER(H21),1,0),IF(AK21="",0,IF(IF($U$37=1,COUNTIF($AH$6:$AK$25,"&gt;"&amp;AK21),COUNTIF($AM$6:$AP$25,"&gt;"&amp;AK21))+COUNTIF($AH$6:$AK$20,AK21)+COUNTIF($AH21:AJ21,AK21)+1&lt;=$U$47,1,0)))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IF($U$4=0,"",IF($U$53=1,"✓ erfüllt","✗ nicht erfüllt"))</f>
        <v/>
      </c>
      <c r="N22" s="36" t="str">
        <f aca="false">IF($U$4=0,"",ROUND($U$43,0)&amp;" Punkte")</f>
        <v/>
      </c>
      <c r="T22" s="15" t="s">
        <v>172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IF(Y22=1,IF(ISNUMBER(E22),1,0),IF(AH22="",0,IF(IF($U$37=1,COUNTIF($AH$6:$AK$25,"&gt;"&amp;AH22),COUNTIF($AM$6:$AP$25,"&gt;"&amp;AH22))+COUNTIF($AH$6:$AK$21,AH22)+1&lt;=$U$47,1,0)))</f>
        <v>0</v>
      </c>
      <c r="AS22" s="15" t="n">
        <f aca="false">IF(Y22=1,IF(ISNUMBER(F22),1,0),IF(AI22="",0,IF(IF($U$37=1,COUNTIF($AH$6:$AK$25,"&gt;"&amp;AI22),COUNTIF($AM$6:$AP$25,"&gt;"&amp;AI22))+COUNTIF($AH$6:$AK$21,AI22)+COUNTIF($AH22:AH22,AI22)+1&lt;=$U$47,1,0)))</f>
        <v>0</v>
      </c>
      <c r="AT22" s="15" t="n">
        <f aca="false">IF(Y22=1,IF(ISNUMBER(G22),1,0),IF(AJ22="",0,IF(IF($U$37=1,COUNTIF($AH$6:$AK$25,"&gt;"&amp;AJ22),COUNTIF($AM$6:$AP$25,"&gt;"&amp;AJ22))+COUNTIF($AH$6:$AK$21,AJ22)+COUNTIF($AH22:AI22,AJ22)+1&lt;=$U$47,1,0)))</f>
        <v>0</v>
      </c>
      <c r="AU22" s="15" t="n">
        <f aca="false">IF(Y22=1,IF(ISNUMBER(H22),1,0),IF(AK22="",0,IF(IF($U$37=1,COUNTIF($AH$6:$AK$25,"&gt;"&amp;AK22),COUNTIF($AM$6:$AP$25,"&gt;"&amp;AK22))+COUNTIF($AH$6:$AK$21,AK22)+COUNTIF($AH22:AJ22,AK22)+1&lt;=$U$47,1,0)))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1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IF($U$4=0,"",IF($U$54=1,"✓ erfüllt","✗ nicht erfüllt"))</f>
        <v/>
      </c>
      <c r="N23" s="36" t="str">
        <f aca="false">IF($U$4=0,"",ROUND($U$44,0)&amp;" Punkte")</f>
        <v/>
      </c>
      <c r="T23" s="15" t="s">
        <v>175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IF(Y23=1,IF(ISNUMBER(E23),1,0),IF(AH23="",0,IF(IF($U$37=1,COUNTIF($AH$6:$AK$25,"&gt;"&amp;AH23),COUNTIF($AM$6:$AP$25,"&gt;"&amp;AH23))+COUNTIF($AH$6:$AK$22,AH23)+1&lt;=$U$47,1,0)))</f>
        <v>0</v>
      </c>
      <c r="AS23" s="15" t="n">
        <f aca="false">IF(Y23=1,IF(ISNUMBER(F23),1,0),IF(AI23="",0,IF(IF($U$37=1,COUNTIF($AH$6:$AK$25,"&gt;"&amp;AI23),COUNTIF($AM$6:$AP$25,"&gt;"&amp;AI23))+COUNTIF($AH$6:$AK$22,AI23)+COUNTIF($AH23:AH23,AI23)+1&lt;=$U$47,1,0)))</f>
        <v>0</v>
      </c>
      <c r="AT23" s="15" t="n">
        <f aca="false">IF(Y23=1,IF(ISNUMBER(G23),1,0),IF(AJ23="",0,IF(IF($U$37=1,COUNTIF($AH$6:$AK$25,"&gt;"&amp;AJ23),COUNTIF($AM$6:$AP$25,"&gt;"&amp;AJ23))+COUNTIF($AH$6:$AK$22,AJ23)+COUNTIF($AH23:AI23,AJ23)+1&lt;=$U$47,1,0)))</f>
        <v>0</v>
      </c>
      <c r="AU23" s="15" t="n">
        <f aca="false">IF(Y23=1,IF(ISNUMBER(H23),1,0),IF(AK23="",0,IF(IF($U$37=1,COUNTIF($AH$6:$AK$25,"&gt;"&amp;AK23),COUNTIF($AM$6:$AP$25,"&gt;"&amp;AK23))+COUNTIF($AH$6:$AK$22,AK23)+COUNTIF($AH23:AJ23,AK23)+1&lt;=$U$47,1,0)))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12</v>
      </c>
      <c r="CG23" s="15" t="n">
        <f aca="false">MAX(0,CF23)</f>
        <v>12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12</v>
      </c>
      <c r="CK23" s="15" t="n">
        <f aca="false">$V$5+CH23+CJ23</f>
        <v>32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MIN(600,INT((CO23)+0.5+0.000000001))</f>
        <v>280</v>
      </c>
      <c r="CR23" s="15" t="n">
        <f aca="false">$V$9+CT23</f>
        <v>0</v>
      </c>
      <c r="CS23" s="15" t="n">
        <f aca="false">6</f>
        <v>6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IF($V$9&lt;=2,1,0)</f>
        <v>1</v>
      </c>
      <c r="CY23" s="15" t="n">
        <f aca="false">1</f>
        <v>1</v>
      </c>
      <c r="CZ23" s="15" t="n">
        <f aca="false">IF(CL23&gt;=80-0.000000001,1,0)</f>
        <v>1</v>
      </c>
      <c r="DA23" s="15" t="n">
        <f aca="false">IF(CU23&gt;=120-0.000000001,1,0)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1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">
        <v>177</v>
      </c>
      <c r="M24" s="43" t="str">
        <f aca="false">IF($U$4=0,"",IF($U$55=1,"✓ erfüllt","✗ nicht erfüllt"))</f>
        <v/>
      </c>
      <c r="N24" s="36" t="str">
        <f aca="false">IF($U$4=0,"",$U$12&amp;" mit 0 Punkten")</f>
        <v/>
      </c>
      <c r="T24" s="15" t="s">
        <v>178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IF(Y24=1,IF(ISNUMBER(E24),1,0),IF(AH24="",0,IF(IF($U$37=1,COUNTIF($AH$6:$AK$25,"&gt;"&amp;AH24),COUNTIF($AM$6:$AP$25,"&gt;"&amp;AH24))+COUNTIF($AH$6:$AK$23,AH24)+1&lt;=$U$47,1,0)))</f>
        <v>0</v>
      </c>
      <c r="AS24" s="15" t="n">
        <f aca="false">IF(Y24=1,IF(ISNUMBER(F24),1,0),IF(AI24="",0,IF(IF($U$37=1,COUNTIF($AH$6:$AK$25,"&gt;"&amp;AI24),COUNTIF($AM$6:$AP$25,"&gt;"&amp;AI24))+COUNTIF($AH$6:$AK$23,AI24)+COUNTIF($AH24:AH24,AI24)+1&lt;=$U$47,1,0)))</f>
        <v>0</v>
      </c>
      <c r="AT24" s="15" t="n">
        <f aca="false">IF(Y24=1,IF(ISNUMBER(G24),1,0),IF(AJ24="",0,IF(IF($U$37=1,COUNTIF($AH$6:$AK$25,"&gt;"&amp;AJ24),COUNTIF($AM$6:$AP$25,"&gt;"&amp;AJ24))+COUNTIF($AH$6:$AK$23,AJ24)+COUNTIF($AH24:AI24,AJ24)+1&lt;=$U$47,1,0)))</f>
        <v>0</v>
      </c>
      <c r="AU24" s="15" t="n">
        <f aca="false">IF(Y24=1,IF(ISNUMBER(H24),1,0),IF(AK24="",0,IF(IF($U$37=1,COUNTIF($AH$6:$AK$25,"&gt;"&amp;AK24),COUNTIF($AM$6:$AP$25,"&gt;"&amp;AK24))+COUNTIF($AH$6:$AK$23,AK24)+COUNTIF($AH24:AJ24,AK24)+1&lt;=$U$47,1,0)))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22.35" hidden="false" customHeight="false" outlineLevel="0" collapsed="false">
      <c r="B25" s="36" t="s">
        <v>179</v>
      </c>
      <c r="C25" s="37"/>
      <c r="D25" s="38"/>
      <c r="E25" s="24"/>
      <c r="F25" s="24"/>
      <c r="G25" s="24"/>
      <c r="H25" s="24"/>
      <c r="I25" s="39"/>
      <c r="J25" s="39"/>
      <c r="L25" s="42" t="s">
        <v>180</v>
      </c>
      <c r="M25" s="43" t="str">
        <f aca="false">IF($U$4=0,"",IF($U$58=1,"✓ erfüllt","✗ nicht erfüllt"))</f>
        <v/>
      </c>
      <c r="N25" s="36"/>
      <c r="T25" s="15" t="s">
        <v>181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IF(Y25=1,IF(ISNUMBER(E25),1,0),IF(AH25="",0,IF(IF($U$37=1,COUNTIF($AH$6:$AK$25,"&gt;"&amp;AH25),COUNTIF($AM$6:$AP$25,"&gt;"&amp;AH25))+COUNTIF($AH$6:$AK$24,AH25)+1&lt;=$U$47,1,0)))</f>
        <v>0</v>
      </c>
      <c r="AS25" s="15" t="n">
        <f aca="false">IF(Y25=1,IF(ISNUMBER(F25),1,0),IF(AI25="",0,IF(IF($U$37=1,COUNTIF($AH$6:$AK$25,"&gt;"&amp;AI25),COUNTIF($AM$6:$AP$25,"&gt;"&amp;AI25))+COUNTIF($AH$6:$AK$24,AI25)+COUNTIF($AH25:AH25,AI25)+1&lt;=$U$47,1,0)))</f>
        <v>0</v>
      </c>
      <c r="AT25" s="15" t="n">
        <f aca="false">IF(Y25=1,IF(ISNUMBER(G25),1,0),IF(AJ25="",0,IF(IF($U$37=1,COUNTIF($AH$6:$AK$25,"&gt;"&amp;AJ25),COUNTIF($AM$6:$AP$25,"&gt;"&amp;AJ25))+COUNTIF($AH$6:$AK$24,AJ25)+COUNTIF($AH25:AI25,AJ25)+1&lt;=$U$47,1,0)))</f>
        <v>0</v>
      </c>
      <c r="AU25" s="15" t="n">
        <f aca="false">IF(Y25=1,IF(ISNUMBER(H25),1,0),IF(AK25="",0,IF(IF($U$37=1,COUNTIF($AH$6:$AK$25,"&gt;"&amp;AK25),COUNTIF($AM$6:$AP$25,"&gt;"&amp;AK25))+COUNTIF($AH$6:$AK$24,AK25)+COUNTIF($AH25:AJ25,AK25)+1&lt;=$U$47,1,0)))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L26" s="42" t="s">
        <v>182</v>
      </c>
      <c r="M26" s="43" t="str">
        <f aca="false">IF($U$4=0,"",IF($U$63=1,"✓ erfüllt","✗ nicht erfüllt"))</f>
        <v/>
      </c>
      <c r="N26" s="36" t="str">
        <f aca="false">IF($U$4=0,"",$U$61&amp;" Punkte")</f>
        <v/>
      </c>
      <c r="T26" s="15" t="s">
        <v>183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22.35" hidden="false" customHeight="false" outlineLevel="0" collapsed="false">
      <c r="L27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7" s="43" t="str">
        <f aca="false">IF($U$4=0,"",IF($U$64=1,"✓ erfüllt","✗ nicht erfüllt"))</f>
        <v/>
      </c>
      <c r="N27" s="36" t="str">
        <f aca="false">IF($U$4=0,"",$U$62&amp;" Prüfungen")</f>
        <v/>
      </c>
      <c r="T27" s="15" t="s">
        <v>184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185</v>
      </c>
      <c r="L28" s="42" t="s">
        <v>186</v>
      </c>
      <c r="M28" s="43" t="str">
        <f aca="false">IF($U$4=0,"",IF($U$65=1,"✓ erfüllt","✗ nicht erfüllt"))</f>
        <v/>
      </c>
      <c r="N28" s="36"/>
      <c r="T28" s="15" t="s">
        <v>187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188</v>
      </c>
      <c r="L29" s="42" t="s">
        <v>189</v>
      </c>
      <c r="M29" s="43" t="str">
        <f aca="false">IF($U$4=0,"",IF($U$68=1,"✓ erfüllt","✗ nicht erfüllt"))</f>
        <v/>
      </c>
      <c r="N29" s="36" t="str">
        <f aca="false">IF($U$4=0,"",$U$67&amp;" Punkte")</f>
        <v/>
      </c>
      <c r="T29" s="15" t="s">
        <v>190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191</v>
      </c>
      <c r="T30" s="15" t="s">
        <v>192</v>
      </c>
      <c r="U30" s="15" t="n">
        <f aca="false">IF($U$19=0,1,0)</f>
        <v>1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193</v>
      </c>
      <c r="L31" s="44" t="s">
        <v>194</v>
      </c>
      <c r="T31" s="15" t="s">
        <v>195</v>
      </c>
      <c r="U31" s="15" t="n">
        <f aca="false">$U$28*$U$29*$U$30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196</v>
      </c>
      <c r="L32" s="8" t="s">
        <v>197</v>
      </c>
      <c r="T32" s="15" t="s">
        <v>198</v>
      </c>
      <c r="U32" s="15" t="n">
        <f aca="false">IF($U$21&gt;=100,1,0)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199</v>
      </c>
      <c r="L33" s="45" t="s">
        <v>200</v>
      </c>
      <c r="T33" s="15" t="s">
        <v>201</v>
      </c>
      <c r="U33" s="15" t="n">
        <f aca="false">IF(AND($U$22&gt;=$U$26,$U$23&gt;=1),1,0)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6" t="s">
        <v>202</v>
      </c>
      <c r="T34" s="15" t="s">
        <v>203</v>
      </c>
      <c r="U34" s="15" t="n">
        <f aca="false">IF($U$24=0,1,0)</f>
        <v>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7" t="s">
        <v>204</v>
      </c>
      <c r="L35" s="48" t="s">
        <v>205</v>
      </c>
      <c r="T35" s="15" t="s">
        <v>206</v>
      </c>
      <c r="U35" s="15" t="n">
        <f aca="false">$U$32*$U$33*$U$34</f>
        <v>1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207</v>
      </c>
      <c r="T36" s="15" t="s">
        <v>208</v>
      </c>
      <c r="U36" s="15" t="n">
        <f aca="false">INDEX($DG$3:$DG$3,$U$13)+$U$27</f>
        <v>37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L37" s="47" t="s">
        <v>209</v>
      </c>
      <c r="T37" s="15" t="s">
        <v>210</v>
      </c>
      <c r="U37" s="15" t="n">
        <f aca="false">IF($U$36=0,1,0)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211</v>
      </c>
      <c r="L38" s="47" t="s">
        <v>212</v>
      </c>
      <c r="T38" s="15" t="s">
        <v>213</v>
      </c>
      <c r="U38" s="15" t="n">
        <f aca="false">IF($U$37=1,INDEX($CQ$3:$CQ$3,$U$13),INDEX($CQ$23:$CQ$23,$U$14))</f>
        <v>280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214</v>
      </c>
      <c r="T39" s="15" t="s">
        <v>215</v>
      </c>
      <c r="U39" s="15" t="n">
        <f aca="false">IF($U$37=1,INDEX($CK$3:$CK$3,$U$13),INDEX($CK$23:$CK$23,$U$14))</f>
        <v>32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216</v>
      </c>
      <c r="U40" s="15" t="n">
        <f aca="false">IF($U$37=1,INDEX($CR$3:$CR$3,$U$13),INDEX($CR$23:$CR$23,$U$14))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217</v>
      </c>
      <c r="U41" s="15" t="n">
        <f aca="false">IF($U$37=1,INDEX($CS$3:$CS$3,$U$13),INDEX($CS$23:$CS$23,$U$14))</f>
        <v>6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218</v>
      </c>
      <c r="U42" s="15" t="n">
        <f aca="false">IF($U$37=1,INDEX($CT$3:$CT$3,$U$13),INDEX($CT$23:$CT$23,$U$14))</f>
        <v>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219</v>
      </c>
      <c r="U43" s="15" t="n">
        <f aca="false">IF($U$37=1,INDEX($CL$3:$CL$3,$U$13),INDEX($CL$23:$CL$23,$U$14))</f>
        <v>112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220</v>
      </c>
      <c r="U44" s="15" t="n">
        <f aca="false">IF($U$37=1,INDEX($CU$3:$CU$3,$U$13),INDEX($CU$23:$CU$23,$U$14))</f>
        <v>168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221</v>
      </c>
      <c r="U45" s="15" t="n">
        <f aca="false">IF($U$37=1,INDEX($CP$3:$CP$3,$U$13),INDEX($CP$23:$CP$23,$U$14))</f>
        <v>40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222</v>
      </c>
      <c r="U46" s="15" t="n">
        <f aca="false">IF($U$37=1,INDEX($CO$3:$CO$3,$U$13),INDEX($CO$23:$CO$23,$U$14))</f>
        <v>280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223</v>
      </c>
      <c r="U47" s="15" t="n">
        <f aca="false">IF($U$37=1,INDEX($CH$3:$CH$3,$U$13),INDEX($CH$23:$CH$23,$U$14))</f>
        <v>0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224</v>
      </c>
      <c r="U48" s="15" t="n">
        <f aca="false">IF($U$37=1,INDEX($DF$3:$DF$3,$U$13),INDEX($DF$23:$DF$23,$U$14))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225</v>
      </c>
      <c r="U49" s="15" t="n">
        <f aca="false">IF($U$37=1,INDEX($CV$3:$CV$3,$U$13),INDEX($CV$23:$CV$23,$U$14))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226</v>
      </c>
      <c r="U50" s="15" t="n">
        <f aca="false">IF($U$37=1,INDEX($CW$3:$CW$3,$U$13),INDEX($CW$23:$CW$23,$U$14))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227</v>
      </c>
      <c r="U51" s="15" t="n">
        <f aca="false">IF($U$37=1,INDEX($CX$3:$CX$3,$U$13),INDEX($CX$23:$CX$23,$U$14))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228</v>
      </c>
      <c r="U52" s="15" t="n">
        <f aca="false">IF($U$37=1,INDEX($CY$3:$CY$3,$U$13),INDEX($CY$23:$CY$23,$U$14))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229</v>
      </c>
      <c r="U53" s="15" t="n">
        <f aca="false">IF($U$37=1,INDEX($CZ$3:$CZ$3,$U$13),INDEX($CZ$23:$CZ$23,$U$14))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230</v>
      </c>
      <c r="U54" s="15" t="n">
        <f aca="false">IF($U$37=1,INDEX($DA$3:$DA$3,$U$13),INDEX($DA$23:$DA$23,$U$14))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231</v>
      </c>
      <c r="U55" s="15" t="n">
        <f aca="false">IF($U$37=1,INDEX($DB$3:$DB$3,$U$13),INDEX($DB$23:$DB$23,$U$14))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232</v>
      </c>
      <c r="U56" s="15" t="n">
        <f aca="false">IF($U$37=1,INDEX($DC$3:$DC$3,$U$13),INDEX($DC$23:$DC$23,$U$14))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233</v>
      </c>
      <c r="U57" s="15" t="n">
        <f aca="false">IF($U$37=1,INDEX($DD$3:$DD$3,$U$13),INDEX($DD$23:$DD$23,$U$14))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234</v>
      </c>
      <c r="U58" s="15" t="n">
        <f aca="false">IF($U$37=1,INDEX($DE$3:$DE$3,$U$13),INDEX($DE$23:$DE$23,$U$14))</f>
        <v>1</v>
      </c>
    </row>
    <row r="59" customFormat="false" ht="15" hidden="false" customHeight="false" outlineLevel="0" collapsed="false">
      <c r="T59" s="15" t="s">
        <v>235</v>
      </c>
      <c r="U59" s="15" t="n">
        <f aca="false">IF($U$37=1,$U$13,$U$14)</f>
        <v>1</v>
      </c>
    </row>
    <row r="60" customFormat="false" ht="15" hidden="false" customHeight="false" outlineLevel="0" collapsed="false">
      <c r="T60" s="15" t="s">
        <v>236</v>
      </c>
      <c r="U60" s="15" t="n">
        <f aca="false">IF($U$37=1,$U$9,$V$9)</f>
        <v>0</v>
      </c>
    </row>
    <row r="61" customFormat="false" ht="15" hidden="false" customHeight="false" outlineLevel="0" collapsed="false">
      <c r="T61" s="15" t="s">
        <v>237</v>
      </c>
      <c r="U61" s="15" t="n">
        <f aca="false">IF($U$37=1,$U$16,$U$21)</f>
        <v>140</v>
      </c>
    </row>
    <row r="62" customFormat="false" ht="15" hidden="false" customHeight="false" outlineLevel="0" collapsed="false">
      <c r="T62" s="15" t="s">
        <v>238</v>
      </c>
      <c r="U62" s="15" t="n">
        <f aca="false">IF($U$37=1,$U$17,$U$22)</f>
        <v>5</v>
      </c>
    </row>
    <row r="63" customFormat="false" ht="15" hidden="false" customHeight="false" outlineLevel="0" collapsed="false">
      <c r="T63" s="15" t="s">
        <v>239</v>
      </c>
      <c r="U63" s="15" t="n">
        <f aca="false">IF($U$37=1,$U$28,$U$32)</f>
        <v>1</v>
      </c>
    </row>
    <row r="64" customFormat="false" ht="15" hidden="false" customHeight="false" outlineLevel="0" collapsed="false">
      <c r="T64" s="15" t="s">
        <v>240</v>
      </c>
      <c r="U64" s="15" t="n">
        <f aca="false">IF($U$37=1,$U$29,$U$33)</f>
        <v>1</v>
      </c>
    </row>
    <row r="65" customFormat="false" ht="15" hidden="false" customHeight="false" outlineLevel="0" collapsed="false">
      <c r="T65" s="15" t="s">
        <v>241</v>
      </c>
      <c r="U65" s="15" t="n">
        <f aca="false">IF($U$37=1,$U$30,$U$34)</f>
        <v>1</v>
      </c>
    </row>
    <row r="66" customFormat="false" ht="15" hidden="false" customHeight="false" outlineLevel="0" collapsed="false">
      <c r="T66" s="15" t="s">
        <v>242</v>
      </c>
      <c r="U66" s="15" t="n">
        <f aca="false">IF($U$37=1,$U$31,$U$35)</f>
        <v>1</v>
      </c>
    </row>
    <row r="67" customFormat="false" ht="15" hidden="false" customHeight="false" outlineLevel="0" collapsed="false">
      <c r="T67" s="15" t="s">
        <v>150</v>
      </c>
      <c r="U67" s="15" t="n">
        <f aca="false">$U$38+$U$61</f>
        <v>420</v>
      </c>
    </row>
    <row r="68" customFormat="false" ht="15" hidden="false" customHeight="false" outlineLevel="0" collapsed="false">
      <c r="T68" s="15" t="s">
        <v>243</v>
      </c>
      <c r="U68" s="15" t="n">
        <f aca="false">IF($U$67&gt;=300,1,0)</f>
        <v>1</v>
      </c>
    </row>
    <row r="69" customFormat="false" ht="15" hidden="false" customHeight="false" outlineLevel="0" collapsed="false">
      <c r="T69" s="15" t="s">
        <v>244</v>
      </c>
      <c r="U69" s="15" t="n">
        <f aca="false">IF($U$48*$U$66*$U$68=1,1,0)</f>
        <v>1</v>
      </c>
    </row>
    <row r="70" customFormat="false" ht="15" hidden="false" customHeight="false" outlineLevel="0" collapsed="false">
      <c r="T70" s="0" t="s">
        <v>245</v>
      </c>
      <c r="U70" s="0" t="n">
        <f aca="false">IF($U$67&lt;300,"",MAX(10,MIN(40,INT((1020-$U$67)/18))))</f>
        <v>33</v>
      </c>
    </row>
    <row r="71" customFormat="false" ht="15" hidden="false" customHeight="false" outlineLevel="0" collapsed="false">
      <c r="T71" s="0" t="s">
        <v>246</v>
      </c>
      <c r="U71" s="0" t="n">
        <f aca="false">IF($U$70="",MAX(0,300-$U$67),IF($U$70&gt;10,1021-18*$U$70-$U$67,""))</f>
        <v>7</v>
      </c>
    </row>
    <row r="72" customFormat="false" ht="15" hidden="false" customHeight="false" outlineLevel="0" collapsed="false">
      <c r="T72" s="0" t="s">
        <v>247</v>
      </c>
      <c r="U72" s="0" t="n">
        <f aca="false">IF($U$70="","",$U$67-IF($U$70&gt;=40,300,1020-18*($U$70+1)+1))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9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rv.hessenrecht.hessen.de/bshe/document/hevr-OSt_AbiVHEV14IVZ"/>
    <hyperlink ref="B38" r:id="rId3" display="Online-Rechner Hessen mit Statistik und PDF-Download: https://www.abi-rechner.com/bundeslander/hess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Hessen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2" t="s">
        <v>248</v>
      </c>
    </row>
    <row r="2" customFormat="false" ht="15" hidden="false" customHeight="false" outlineLevel="0" collapsed="false">
      <c r="B2" s="2" t="s">
        <v>249</v>
      </c>
    </row>
    <row r="4" customFormat="false" ht="15" hidden="false" customHeight="false" outlineLevel="0" collapsed="false">
      <c r="B4" s="41" t="s">
        <v>127</v>
      </c>
      <c r="C4" s="41" t="s">
        <v>250</v>
      </c>
      <c r="D4" s="41" t="s">
        <v>251</v>
      </c>
      <c r="F4" s="41" t="s">
        <v>252</v>
      </c>
      <c r="G4" s="41" t="s">
        <v>253</v>
      </c>
      <c r="H4" s="6" t="s">
        <v>254</v>
      </c>
    </row>
    <row r="5" customFormat="false" ht="15" hidden="false" customHeight="false" outlineLevel="0" collapsed="false">
      <c r="B5" s="53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4" t="n">
        <v>15</v>
      </c>
      <c r="G5" s="10" t="s">
        <v>255</v>
      </c>
      <c r="H5" s="11" t="s">
        <v>256</v>
      </c>
    </row>
    <row r="6" customFormat="false" ht="15" hidden="false" customHeight="false" outlineLevel="0" collapsed="false">
      <c r="B6" s="53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4" t="n">
        <v>14</v>
      </c>
      <c r="G6" s="10" t="s">
        <v>257</v>
      </c>
      <c r="H6" s="11" t="s">
        <v>256</v>
      </c>
    </row>
    <row r="7" customFormat="false" ht="15" hidden="false" customHeight="false" outlineLevel="0" collapsed="false">
      <c r="B7" s="53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4" t="n">
        <v>13</v>
      </c>
      <c r="G7" s="10" t="s">
        <v>258</v>
      </c>
      <c r="H7" s="11" t="s">
        <v>256</v>
      </c>
    </row>
    <row r="8" customFormat="false" ht="15" hidden="false" customHeight="false" outlineLevel="0" collapsed="false">
      <c r="B8" s="53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4" t="n">
        <v>12</v>
      </c>
      <c r="G8" s="10" t="s">
        <v>259</v>
      </c>
      <c r="H8" s="11" t="s">
        <v>260</v>
      </c>
    </row>
    <row r="9" customFormat="false" ht="15" hidden="false" customHeight="false" outlineLevel="0" collapsed="false">
      <c r="B9" s="53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4" t="n">
        <v>11</v>
      </c>
      <c r="G9" s="10" t="s">
        <v>261</v>
      </c>
      <c r="H9" s="11" t="s">
        <v>260</v>
      </c>
    </row>
    <row r="10" customFormat="false" ht="15" hidden="false" customHeight="false" outlineLevel="0" collapsed="false">
      <c r="B10" s="53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4" t="n">
        <v>10</v>
      </c>
      <c r="G10" s="10" t="s">
        <v>262</v>
      </c>
      <c r="H10" s="11" t="s">
        <v>260</v>
      </c>
    </row>
    <row r="11" customFormat="false" ht="15" hidden="false" customHeight="false" outlineLevel="0" collapsed="false">
      <c r="B11" s="53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4" t="n">
        <v>9</v>
      </c>
      <c r="G11" s="10" t="s">
        <v>263</v>
      </c>
      <c r="H11" s="11" t="s">
        <v>264</v>
      </c>
    </row>
    <row r="12" customFormat="false" ht="15" hidden="false" customHeight="false" outlineLevel="0" collapsed="false">
      <c r="B12" s="53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4" t="n">
        <v>8</v>
      </c>
      <c r="G12" s="10" t="s">
        <v>265</v>
      </c>
      <c r="H12" s="11" t="s">
        <v>264</v>
      </c>
    </row>
    <row r="13" customFormat="false" ht="15" hidden="false" customHeight="false" outlineLevel="0" collapsed="false">
      <c r="B13" s="53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4" t="n">
        <v>7</v>
      </c>
      <c r="G13" s="10" t="s">
        <v>266</v>
      </c>
      <c r="H13" s="11" t="s">
        <v>264</v>
      </c>
    </row>
    <row r="14" customFormat="false" ht="15" hidden="false" customHeight="false" outlineLevel="0" collapsed="false">
      <c r="B14" s="53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4" t="n">
        <v>6</v>
      </c>
      <c r="G14" s="10" t="s">
        <v>267</v>
      </c>
      <c r="H14" s="11" t="s">
        <v>268</v>
      </c>
    </row>
    <row r="15" customFormat="false" ht="15" hidden="false" customHeight="false" outlineLevel="0" collapsed="false">
      <c r="B15" s="53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4" t="n">
        <v>5</v>
      </c>
      <c r="G15" s="10" t="s">
        <v>269</v>
      </c>
      <c r="H15" s="11" t="s">
        <v>268</v>
      </c>
    </row>
    <row r="16" customFormat="false" ht="15" hidden="false" customHeight="false" outlineLevel="0" collapsed="false">
      <c r="B16" s="53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4" t="n">
        <v>4</v>
      </c>
      <c r="G16" s="10" t="s">
        <v>270</v>
      </c>
      <c r="H16" s="11" t="s">
        <v>268</v>
      </c>
    </row>
    <row r="17" customFormat="false" ht="15" hidden="false" customHeight="false" outlineLevel="0" collapsed="false">
      <c r="B17" s="53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4" t="n">
        <v>3</v>
      </c>
      <c r="G17" s="10" t="s">
        <v>271</v>
      </c>
      <c r="H17" s="11" t="s">
        <v>272</v>
      </c>
    </row>
    <row r="18" customFormat="false" ht="15" hidden="false" customHeight="false" outlineLevel="0" collapsed="false">
      <c r="B18" s="53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4" t="n">
        <v>2</v>
      </c>
      <c r="G18" s="10" t="s">
        <v>24</v>
      </c>
      <c r="H18" s="11" t="s">
        <v>272</v>
      </c>
    </row>
    <row r="19" customFormat="false" ht="15" hidden="false" customHeight="false" outlineLevel="0" collapsed="false">
      <c r="B19" s="53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4" t="n">
        <v>1</v>
      </c>
      <c r="G19" s="10" t="s">
        <v>273</v>
      </c>
      <c r="H19" s="11" t="s">
        <v>272</v>
      </c>
    </row>
    <row r="20" customFormat="false" ht="15" hidden="false" customHeight="false" outlineLevel="0" collapsed="false">
      <c r="B20" s="53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4" t="n">
        <v>0</v>
      </c>
      <c r="G20" s="10" t="s">
        <v>274</v>
      </c>
      <c r="H20" s="11" t="s">
        <v>275</v>
      </c>
    </row>
    <row r="21" customFormat="false" ht="15" hidden="false" customHeight="false" outlineLevel="0" collapsed="false">
      <c r="B21" s="53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3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276</v>
      </c>
    </row>
    <row r="23" customFormat="false" ht="15" hidden="false" customHeight="false" outlineLevel="0" collapsed="false">
      <c r="B23" s="53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3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3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3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3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3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3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3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3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3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3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3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3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277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2026-09-23T23:59:38Z</dcterms:created>
  <dc:creator>abi-rechner.com</dc:creator>
  <dc:description/>
  <cp:keywords>Abi-Rechner Abiturnote Excel Abitur 2027</cp:keywords>
  <dc:language>en-US</dc:language>
  <cp:lastModifiedBy/>
  <dcterms:modified xsi:type="dcterms:W3CDTF">2026-09-23T23:59:38Z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