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Niedersachsen" sheetId="2" state="visible" r:id="rId4"/>
    <sheet name="Punktetabelle" sheetId="3" state="visible" r:id="rId5"/>
  </sheets>
  <definedNames>
    <definedName function="false" hidden="false" localSheetId="1" name="_xlnm.Print_Area" vbProcedure="false">Niedersachsen!$A$1:$N$40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<sst xmlns="http://schemas.openxmlformats.org/spreadsheetml/2006/main" count="332" uniqueCount="272">
  <si>
    <t xml:space="preserve">Abi-Rechner Niedersachsen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</si>
  <si>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</si>
  <si>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</si>
  <si>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</si>
  <si>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</si>
  <si>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</si>
  <si>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</si>
  <si>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</si>
  <si>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</si>
  <si>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</si>
  <si>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</si>
  <si>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</si>
  <si>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</si>
  <si>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</si>
  <si>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</si>
  <si>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</si>
  <si>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</si>
  <si>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</si>
  <si>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</si>
  <si>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</si>
  <si>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</si>
  <si>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</si>
  <si>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Niedersachsen</t>
  </si>
  <si>
    <t xml:space="preserve">32–36</t>
  </si>
  <si>
    <t xml:space="preserve">5</t>
  </si>
  <si>
    <t xml:space="preserve">Abitur 2027 (AVO-GOBAK)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</si>
  <si>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</si>
  <si>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</si>
  <si>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</si>
  <si>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</si>
  <si>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</si>
  <si>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</si>
  <si>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</si>
  <si>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Niedersachsen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</si>
  <si>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</si>
  <si>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</si>
  <si>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</si>
  <si>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</si>
  <si>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</si>
  <si>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(AVO-GOBAK)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</si>
  <si>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</si>
  <si>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</si>
  <si>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</si>
  <si>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</si>
  <si>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</si>
  <si>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</si>
  <si>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</si>
  <si>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</si>
  <si>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</si>
  <si>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</si>
  <si>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</si>
  <si>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</si>
  <si>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</si>
  <si>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</si>
  <si>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</si>
  <si>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</si>
  <si>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</si>
  <si>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</si>
  <si>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</si>
  <si>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</si>
  <si>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</si>
  <si>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</si>
  <si>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</si>
  <si>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</si>
  <si>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</si>
  <si>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</si>
  <si>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</si>
  <si>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</si>
  <si>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</si>
  <si>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</si>
  <si>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</si>
  <si>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</si>
  <si>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</si>
  <si>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</si>
  <si>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</si>
  <si>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</si>
  <si>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</si>
  <si>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</si>
  <si>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</si>
  <si>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</si>
  <si>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</si>
  <si>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</si>
  <si>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</si>
  <si>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</si>
  <si>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</si>
  <si>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</si>
  <si>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</si>
  <si>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</si>
  <si>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</si>
  <si>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</si>
  <si>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</si>
  <si>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</si>
  <si>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</si>
  <si>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</si>
  <si>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</si>
  <si>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</si>
  <si>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</si>
  <si>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</si>
  <si>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</si>
  <si>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</si>
  <si>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</si>
  <si>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</si>
  <si>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</si>
  <si>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</si>
  <si>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</si>
  <si>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</si>
  <si>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</si>
  <si>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</si>
  <si>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</si>
  <si>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erhöhtes Niveau, schriftlich · zählt doppelt</t>
  </si>
  <si>
    <t xml:space="preserve">Abi</t>
  </si>
  <si>
    <t xml:space="preserve">Status</t>
  </si>
  <si>
    <t xml:space="preserve">fehlende Pflicht-Halbjahre</t>
  </si>
  <si>
    <t xml:space="preserve">2. Prüfungsfach
erhöhtes Niveau,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</si>
  <si>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</si>
  <si>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</si>
  <si>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</si>
  <si>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erhöhtes Niveau,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</si>
  <si>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</si>
  <si>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</si>
  <si>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</si>
  <si>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grundlegendes Niveau, schriftlich</t>
  </si>
  <si>
    <t xml:space="preserve">Gesamtpunktzahl</t>
  </si>
  <si>
    <t xml:space="preserve">von 900 (mind. 300)</t>
  </si>
  <si>
    <t xml:space="preserve">UK eA (Pflicht)</t>
  </si>
  <si>
    <t xml:space="preserve">5. Prüfungsfach
mündlich oder Präsentationsprüfung</t>
  </si>
  <si>
    <t xml:space="preserve">–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</si>
  <si>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</si>
  <si>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</si>
  <si>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</si>
  <si>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</si>
  <si>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</si>
  <si>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</si>
  <si>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</si>
  <si>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</si>
  <si>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</si>
  <si>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</si>
  <si>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</si>
  <si>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</si>
  <si>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</si>
  <si>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</si>
  <si>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</si>
  <si>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</si>
  <si>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</si>
  <si>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</si>
  <si>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</si>
  <si>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</si>
  <si>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</si>
  <si>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</si>
  <si>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</si>
  <si>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</si>
  <si>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</si>
  <si>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</si>
  <si>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</si>
  <si>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Gesamtpunkte (einfach gewertetes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</si>
  <si>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</si>
  <si>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</si>
  <si>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</si>
  <si>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</si>
  <si>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</si>
  <si>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</si>
  <si>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</si>
  <si>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</si>
  <si>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</si>
  <si>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</si>
  <si>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</si>
  <si>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</si>
  <si>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</si>
  <si>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Höchstens 3 Unterkurse in den Leistungs-/eA-Fächern</t>
  </si>
  <si>
    <t xml:space="preserve">Block II F</t>
  </si>
  <si>
    <t xml:space="preserve">Kurs 11</t>
  </si>
  <si>
    <t xml:space="preserve">Keine Pflicht-Halbjahre mit 0 Punkten</t>
  </si>
  <si>
    <t xml:space="preserve">&gt;=5 Punkte F</t>
  </si>
  <si>
    <t xml:space="preserve">Kurs 12</t>
  </si>
  <si>
    <t xml:space="preserve">Nicht mehr Pflichtkurse markiert, als eingebracht werden dürfen</t>
  </si>
  <si>
    <t xml:space="preserve">&gt;=5 in Pflichtfächern F</t>
  </si>
  <si>
    <t xml:space="preserve">Kurs 13</t>
  </si>
  <si>
    <t xml:space="preserve">Block II mindestens 100 Punkte</t>
  </si>
  <si>
    <t xml:space="preserve">Prüfung 0 F</t>
  </si>
  <si>
    <t xml:space="preserve">Kurs 14</t>
  </si>
  <si>
    <t xml:space="preserve">unter Mindestpunktzahl F</t>
  </si>
  <si>
    <t xml:space="preserve">Gesamtpunktzahl mindestens 300</t>
  </si>
  <si>
    <t xml:space="preserve">nötige Prüfungen &gt;=5</t>
  </si>
  <si>
    <t xml:space="preserve">fehlende Prüfungen</t>
  </si>
  <si>
    <t xml:space="preserve">Die Regeln in Niedersachsen kurz erklärt</t>
  </si>
  <si>
    <t xml:space="preserve">Legende</t>
  </si>
  <si>
    <t xml:space="preserve">B2 Bedingung 0 A</t>
  </si>
  <si>
    <t xml:space="preserve">• 32 bis 36 Schulhalbjahresergebnisse; nur das 1. und 2. Prüfungsfach zählen doppelt.</t>
  </si>
  <si>
    <t xml:space="preserve">Eingabefeld (Punkte 0–15)</t>
  </si>
  <si>
    <t xml:space="preserve">B2 Bedingung 1 A</t>
  </si>
  <si>
    <t xml:space="preserve">• Block I = Punktsumme / Anzahl × 40, mathematisch gerundet (der Rechner wählt die beste Anzahl).</t>
  </si>
  <si>
    <t xml:space="preserve">Halbjahr wird eingebracht</t>
  </si>
  <si>
    <t xml:space="preserve">B2 gültig A</t>
  </si>
  <si>
    <t xml:space="preserve">• Höchstens 6 bzw. 7 Unterkurse (je nach Anzahl), in P1–P3 höchstens 3; keine 0 Punkte.</t>
  </si>
  <si>
    <t xml:space="preserve">eingebracht, aber Unterkurs (unter 5 Punkten)</t>
  </si>
  <si>
    <t xml:space="preserve">B2 Bedingung 0 F</t>
  </si>
  <si>
    <t xml:space="preserve">• Block II: 5 Prüfungsfächer, jeweils vierfach.</t>
  </si>
  <si>
    <t xml:space="preserve">wird nicht eingebracht (Streichergebnis)</t>
  </si>
  <si>
    <t xml:space="preserve">B2 Bedingung 1 F</t>
  </si>
  <si>
    <t xml:space="preserve">• Bestehen Block II: mind. 100 Punkte, in 3 Prüfungsfächern mind. 5 Punkte.</t>
  </si>
  <si>
    <t xml:space="preserve">B2 gültig F</t>
  </si>
  <si>
    <t xml:space="preserve">Die Tabelle wählt automatisch die günstigsten Halbjahre aus.</t>
  </si>
  <si>
    <t xml:space="preserve">fehlende Eingaben</t>
  </si>
  <si>
    <t xml:space="preserve">Quelle: AVO-GOBAK Niedersachsen § 15, Anlage 2</t>
  </si>
  <si>
    <t xml:space="preserve">Blattschutz ohne Passwort: Überprüfen → Blatt schützen aufheben.</t>
  </si>
  <si>
    <t xml:space="preserve">vollständig</t>
  </si>
  <si>
    <t xml:space="preserve">https://www.mk.niedersachsen.de/download/110382/AVO-GOBAK_und_EB-AVO-GOBAK_Maerz_2025.pdf</t>
  </si>
  <si>
    <t xml:space="preserve">m_pts</t>
  </si>
  <si>
    <t xml:space="preserve">m_cnt</t>
  </si>
  <si>
    <t xml:space="preserve">Online-Rechner Niedersachsen mit Statistik und PDF-Download: https://www.abi-rechner.com/bundeslander/niedersachsen/</t>
  </si>
  <si>
    <t xml:space="preserve">m_uk</t>
  </si>
  <si>
    <t xml:space="preserve">Alle Angaben ohne Gewähr. Maßgeblich ist die Oberstufenverordnung deines Landes und die Auskunft deiner Schule.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</si>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</sst>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mk.niedersachsen.de/download/110382/AVO-GOBAK_und_EB-AVO-GOBAK_Maerz_2025.pdf" TargetMode="External"/><Relationship Id="rId3" Type="http://schemas.openxmlformats.org/officeDocument/2006/relationships/hyperlink" Target="https://www.abi-rechner.com/bundeslander/niedersachse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Niedersachsen'!A1" display="Niedersachse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12</v>
      </c>
      <c r="CG3" s="15" t="n">
        <f aca="false">MAX(0,CF3)</f>
        <v>12</v>
      </c>
      <c r="CH3" s="15" t="n">
        <f aca="false">MIN(CG3,$U$7)</f>
        <v>0</v>
      </c>
      <c r="CI3" s="15" t="n">
        <f aca="false">CG3-CH3</f>
        <v>12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2*AW6+2*AX6+2*AW7+2*AX7+1*AW8+1*AX8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IF(CK3&lt;32,6,IF(CK3&gt;36,7,CHOOSE(CK3-31,6,6,6,7,7)))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IF($U$9&lt;=3,1,0)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  <c r="CE4" s="15" t="n">
        <f aca="false">33</f>
        <v>33</v>
      </c>
      <c r="CF4" s="15" t="n">
        <f aca="false">CE4-$U$5-$U$6-0</f>
        <v>13</v>
      </c>
      <c r="CG4" s="15" t="n">
        <f aca="false">MAX(0,CF4)</f>
        <v>13</v>
      </c>
      <c r="CH4" s="15" t="n">
        <f aca="false">MIN(CG4,$U$7)</f>
        <v>0</v>
      </c>
      <c r="CI4" s="15" t="n">
        <f aca="false">CG4-CH4</f>
        <v>13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2*AW6+2*AX6+2*AW7+2*AX7+1*AW8+1*AX8</f>
        <v>0</v>
      </c>
      <c r="CM4" s="15" t="n">
        <f aca="false">2*AY6+2*AZ6+2*AY7+2*AZ7+1*AY8+1*AZ8+1*AY9+1*AZ9+1*AY10+1*AZ10+SUM($AA$12:$AA$25)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IF(CK4&lt;32,6,IF(CK4&gt;36,7,CHOOSE(CK4-31,6,6,6,7,7)))</f>
        <v>6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IF($U$9&lt;=3,1,0)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33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  <c r="CE5" s="15" t="n">
        <f aca="false">34</f>
        <v>34</v>
      </c>
      <c r="CF5" s="15" t="n">
        <f aca="false">CE5-$U$5-$U$6-0</f>
        <v>14</v>
      </c>
      <c r="CG5" s="15" t="n">
        <f aca="false">MAX(0,CF5)</f>
        <v>14</v>
      </c>
      <c r="CH5" s="15" t="n">
        <f aca="false">MIN(CG5,$U$7)</f>
        <v>0</v>
      </c>
      <c r="CI5" s="15" t="n">
        <f aca="false">CG5-CH5</f>
        <v>14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2*AW6+2*AX6+2*AW7+2*AX7+1*AW8+1*AX8</f>
        <v>0</v>
      </c>
      <c r="CM5" s="15" t="n">
        <f aca="false">2*AY6+2*AZ6+2*AY7+2*AZ7+1*AY8+1*AZ8+1*AY9+1*AZ9+1*AY10+1*AZ10+SUM($AA$12:$AA$25)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IF(CK5&lt;32,6,IF(CK5&gt;36,7,CHOOSE(CK5-31,6,6,6,7,7)))</f>
        <v>6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IF($U$9&lt;=3,1,0)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34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  <c r="CE6" s="15" t="n">
        <f aca="false">35</f>
        <v>35</v>
      </c>
      <c r="CF6" s="15" t="n">
        <f aca="false">CE6-$U$5-$U$6-0</f>
        <v>15</v>
      </c>
      <c r="CG6" s="15" t="n">
        <f aca="false">MAX(0,CF6)</f>
        <v>15</v>
      </c>
      <c r="CH6" s="15" t="n">
        <f aca="false">MIN(CG6,$U$7)</f>
        <v>0</v>
      </c>
      <c r="CI6" s="15" t="n">
        <f aca="false">CG6-CH6</f>
        <v>15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2*AW6+2*AX6+2*AW7+2*AX7+1*AW8+1*AX8</f>
        <v>0</v>
      </c>
      <c r="CM6" s="15" t="n">
        <f aca="false">2*AY6+2*AZ6+2*AY7+2*AZ7+1*AY8+1*AZ8+1*AY9+1*AZ9+1*AY10+1*AZ10+SUM($AA$12:$AA$25)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IF(CK6&lt;32,6,IF(CK6&gt;36,7,CHOOSE(CK6-31,6,6,6,7,7)))</f>
        <v>6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IF($U$9&lt;=3,1,0)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35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IF($U$4=0,"",$U$36)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  <c r="CE7" s="15" t="n">
        <f aca="false">36</f>
        <v>36</v>
      </c>
      <c r="CF7" s="15" t="n">
        <f aca="false">CE7-$U$5-$U$6-0</f>
        <v>16</v>
      </c>
      <c r="CG7" s="15" t="n">
        <f aca="false">MAX(0,CF7)</f>
        <v>16</v>
      </c>
      <c r="CH7" s="15" t="n">
        <f aca="false">MIN(CG7,$U$7)</f>
        <v>0</v>
      </c>
      <c r="CI7" s="15" t="n">
        <f aca="false">CG7-CH7</f>
        <v>16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2*AW6+2*AX6+2*AW7+2*AX7+1*AW8+1*AX8</f>
        <v>0</v>
      </c>
      <c r="CM7" s="15" t="n">
        <f aca="false">2*AY6+2*AZ6+2*AY7+2*AZ7+1*AY8+1*AZ8+1*AY9+1*AZ9+1*AY10+1*AZ10+SUM($AA$12:$AA$25)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IF(CK7&lt;32,6,IF(CK7&gt;36,7,CHOOSE(CK7-31,6,6,6,7,7)))</f>
        <v>6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IF($U$9&lt;=3,1,0)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36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IF($U$4=0,"",$U$59)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24"/>
      <c r="L9" s="30" t="s">
        <v>122</v>
      </c>
      <c r="M9" s="31" t="str">
        <f aca="false">IF($U$4=0,"",$U$64)</f>
        <v/>
      </c>
      <c r="N9" s="29" t="s">
        <v>123</v>
      </c>
      <c r="T9" s="15" t="s">
        <v>124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IF(BN9="","",IF(ISNUMBER($J$9),INT(((2*BN9+$J$9)/3*$U$15)+0.5+0.000000001),BN9*$U$15))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IF(BT9="","",IF(ISNUMBER($J$9),INT(((2*BT9+$J$9)/3*$U$15)+0.5+0.000000001),BT9*$U$15))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125</v>
      </c>
      <c r="C10" s="22"/>
      <c r="D10" s="23" t="s">
        <v>110</v>
      </c>
      <c r="E10" s="24"/>
      <c r="F10" s="24"/>
      <c r="G10" s="24"/>
      <c r="H10" s="24"/>
      <c r="I10" s="25"/>
      <c r="J10" s="32" t="s">
        <v>126</v>
      </c>
      <c r="L10" s="30" t="s">
        <v>127</v>
      </c>
      <c r="M10" s="33" t="str">
        <f aca="false">IF($U$4=0,"",IF($U$66=1,$U$67/10,"nicht bestanden"))</f>
        <v/>
      </c>
      <c r="N10" s="29"/>
      <c r="T10" s="15" t="s">
        <v>128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132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IF($U$4=0,"",$U$37)</f>
        <v/>
      </c>
      <c r="N13" s="29" t="str">
        <f aca="false">IF($U$4=0,"","Formel: "&amp;FIXED($U$44,1)&amp;" / "&amp;$U$43&amp;" × 40")</f>
        <v/>
      </c>
      <c r="T13" s="15" t="s">
        <v>144</v>
      </c>
      <c r="U13" s="15" t="n">
        <f aca="false">MATCH(MAX($DH$3:$DH$7),$DH$3:$DH$7,0)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147</v>
      </c>
      <c r="U14" s="15" t="n">
        <f aca="false">MATCH(MAX($DH$23:$DH$27),$DH$23:$DH$27,0)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IF($U$4=0,"","+"&amp;$U$15)</f>
        <v/>
      </c>
      <c r="N15" s="29" t="s">
        <v>150</v>
      </c>
      <c r="T15" s="15" t="s">
        <v>151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+"&amp;FIXED(40/$U$43,2))</f>
        <v/>
      </c>
      <c r="N16" s="29" t="s">
        <v>154</v>
      </c>
      <c r="T16" s="15" t="s">
        <v>155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0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164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6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166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IF($U$4=0,"",IF($U$49=1,"✓ erfüllt","✗ nicht erfüllt"))</f>
        <v/>
      </c>
      <c r="N21" s="36" t="str">
        <f aca="false">IF($U$4=0,"",$U$58&amp;" Unterkurse")</f>
        <v/>
      </c>
      <c r="T21" s="15" t="s">
        <v>169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IF($U$4=0,"",IF($U$53=1,"✓ erfüllt","✗ nicht erfüllt"))</f>
        <v/>
      </c>
      <c r="N22" s="36" t="str">
        <f aca="false">IF($U$4=0,"",$U$12&amp;" mit 0 Punkten")</f>
        <v/>
      </c>
      <c r="T22" s="15" t="s">
        <v>172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22.3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IF($U$4=0,"",IF($U$56=1,"✓ erfüllt","✗ nicht erfüllt"))</f>
        <v/>
      </c>
      <c r="N23" s="36"/>
      <c r="T23" s="15" t="s">
        <v>175</v>
      </c>
      <c r="U23" s="15" t="n">
        <f aca="false">0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12</v>
      </c>
      <c r="CG23" s="15" t="n">
        <f aca="false">MAX(0,CF23)</f>
        <v>12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12</v>
      </c>
      <c r="CK23" s="15" t="n">
        <f aca="false">$V$5+CH23+CJ23</f>
        <v>32</v>
      </c>
      <c r="CL23" s="15" t="n">
        <f aca="false">2*BE6+2*BF6+2*BE7+2*BF7+1*BE8+1*BF8</f>
        <v>140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IF(CK23&lt;32,6,IF(CK23&gt;36,7,CHOOSE(CK23-31,6,6,6,7,7)))</f>
        <v>6</v>
      </c>
      <c r="CT23" s="15" t="n">
        <f aca="false">$V$10+MAX(0,CH23-$V$8)+CJ23*IF($U$2&lt;5,1,0)</f>
        <v>0</v>
      </c>
      <c r="CU23" s="15" t="n">
        <f aca="false">$V$11+CN23+CJ23*$U$2</f>
        <v>140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IF($V$9&lt;=3,1,0)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">
        <v>177</v>
      </c>
      <c r="M24" s="43" t="str">
        <f aca="false">IF($U$4=0,"",IF($U$61=1,"✓ erfüllt","✗ nicht erfüllt"))</f>
        <v/>
      </c>
      <c r="N24" s="36" t="str">
        <f aca="false">IF($U$4=0,"",$U$59&amp;" Punkte")</f>
        <v/>
      </c>
      <c r="T24" s="15" t="s">
        <v>178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  <c r="CE24" s="15" t="n">
        <f aca="false">33</f>
        <v>33</v>
      </c>
      <c r="CF24" s="15" t="n">
        <f aca="false">CE24-$V$5-$V$6-0</f>
        <v>13</v>
      </c>
      <c r="CG24" s="15" t="n">
        <f aca="false">MAX(0,CF24)</f>
        <v>13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13</v>
      </c>
      <c r="CK24" s="15" t="n">
        <f aca="false">$V$5+CH24+CJ24</f>
        <v>33</v>
      </c>
      <c r="CL24" s="15" t="n">
        <f aca="false">2*BE6+2*BF6+2*BE7+2*BF7+1*BE8+1*BF8</f>
        <v>140</v>
      </c>
      <c r="CM24" s="15" t="n">
        <f aca="false">2*BG6+2*BH6+2*BG7+2*BH7+1*BG8+1*BH8+1*BG9+1*BH9+1*BG10+1*BH10+SUM($AE$12:$AE$25)</f>
        <v>28</v>
      </c>
      <c r="CN24" s="15" t="n">
        <f aca="false">IF(CH24=0,0,INDEX($CC$2:$CC$57,CH24))</f>
        <v>0</v>
      </c>
      <c r="CO24" s="15" t="n">
        <f aca="false">CL24+$V$11+CN24+CJ24*$U$2</f>
        <v>287</v>
      </c>
      <c r="CP24" s="15" t="n">
        <f aca="false">CM24+CH24+CJ24</f>
        <v>41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IF(CK24&lt;32,6,IF(CK24&gt;36,7,CHOOSE(CK24-31,6,6,6,7,7)))</f>
        <v>6</v>
      </c>
      <c r="CT24" s="15" t="n">
        <f aca="false">$V$10+MAX(0,CH24-$V$8)+CJ24*IF($U$2&lt;5,1,0)</f>
        <v>0</v>
      </c>
      <c r="CU24" s="15" t="n">
        <f aca="false">$V$11+CN24+CJ24*$U$2</f>
        <v>147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IF($V$9&lt;=3,1,0)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1028067</v>
      </c>
    </row>
    <row r="25" customFormat="false" ht="15" hidden="false" customHeight="false" outlineLevel="0" collapsed="false">
      <c r="B25" s="36" t="s">
        <v>179</v>
      </c>
      <c r="C25" s="37"/>
      <c r="D25" s="38"/>
      <c r="E25" s="24"/>
      <c r="F25" s="24"/>
      <c r="G25" s="24"/>
      <c r="H25" s="24"/>
      <c r="I25" s="39"/>
      <c r="J25" s="39"/>
      <c r="L25" s="42" t="str">
        <f aca="false">"In mindestens "&amp;$U$26&amp;" Prüfungen mindestens 5 Punkte (einfach)"</f>
        <v>In mindestens 3 Prüfungen mindestens 5 Punkte (einfach)</v>
      </c>
      <c r="M25" s="43" t="str">
        <f aca="false">IF($U$4=0,"",IF($U$62=1,"✓ erfüllt","✗ nicht erfüllt"))</f>
        <v/>
      </c>
      <c r="N25" s="36" t="str">
        <f aca="false">IF($U$4=0,"",$U$60&amp;" Prüfungen")</f>
        <v/>
      </c>
      <c r="T25" s="15" t="s">
        <v>180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  <c r="CE25" s="15" t="n">
        <f aca="false">34</f>
        <v>34</v>
      </c>
      <c r="CF25" s="15" t="n">
        <f aca="false">CE25-$V$5-$V$6-0</f>
        <v>14</v>
      </c>
      <c r="CG25" s="15" t="n">
        <f aca="false">MAX(0,CF25)</f>
        <v>14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14</v>
      </c>
      <c r="CK25" s="15" t="n">
        <f aca="false">$V$5+CH25+CJ25</f>
        <v>34</v>
      </c>
      <c r="CL25" s="15" t="n">
        <f aca="false">2*BE6+2*BF6+2*BE7+2*BF7+1*BE8+1*BF8</f>
        <v>140</v>
      </c>
      <c r="CM25" s="15" t="n">
        <f aca="false">2*BG6+2*BH6+2*BG7+2*BH7+1*BG8+1*BH8+1*BG9+1*BH9+1*BG10+1*BH10+SUM($AE$12:$AE$25)</f>
        <v>28</v>
      </c>
      <c r="CN25" s="15" t="n">
        <f aca="false">IF(CH25=0,0,INDEX($CC$2:$CC$57,CH25))</f>
        <v>0</v>
      </c>
      <c r="CO25" s="15" t="n">
        <f aca="false">CL25+$V$11+CN25+CJ25*$U$2</f>
        <v>294</v>
      </c>
      <c r="CP25" s="15" t="n">
        <f aca="false">CM25+CH25+CJ25</f>
        <v>42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IF(CK25&lt;32,6,IF(CK25&gt;36,7,CHOOSE(CK25-31,6,6,6,7,7)))</f>
        <v>6</v>
      </c>
      <c r="CT25" s="15" t="n">
        <f aca="false">$V$10+MAX(0,CH25-$V$8)+CJ25*IF($U$2&lt;5,1,0)</f>
        <v>0</v>
      </c>
      <c r="CU25" s="15" t="n">
        <f aca="false">$V$11+CN25+CJ25*$U$2</f>
        <v>154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IF($V$9&lt;=3,1,0)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1028066</v>
      </c>
    </row>
    <row r="26" customFormat="false" ht="15" hidden="false" customHeight="false" outlineLevel="0" collapsed="false">
      <c r="L26" s="42" t="s">
        <v>181</v>
      </c>
      <c r="M26" s="43" t="str">
        <f aca="false">IF($U$4=0,"",IF($U$65=1,"✓ erfüllt","✗ nicht erfüllt"))</f>
        <v/>
      </c>
      <c r="N26" s="36" t="str">
        <f aca="false">IF($U$4=0,"",$U$64&amp;" Punkte")</f>
        <v/>
      </c>
      <c r="T26" s="15" t="s">
        <v>182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  <c r="CE26" s="15" t="n">
        <f aca="false">35</f>
        <v>35</v>
      </c>
      <c r="CF26" s="15" t="n">
        <f aca="false">CE26-$V$5-$V$6-0</f>
        <v>15</v>
      </c>
      <c r="CG26" s="15" t="n">
        <f aca="false">MAX(0,CF26)</f>
        <v>15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15</v>
      </c>
      <c r="CK26" s="15" t="n">
        <f aca="false">$V$5+CH26+CJ26</f>
        <v>35</v>
      </c>
      <c r="CL26" s="15" t="n">
        <f aca="false">2*BE6+2*BF6+2*BE7+2*BF7+1*BE8+1*BF8</f>
        <v>140</v>
      </c>
      <c r="CM26" s="15" t="n">
        <f aca="false">2*BG6+2*BH6+2*BG7+2*BH7+1*BG8+1*BH8+1*BG9+1*BH9+1*BG10+1*BH10+SUM($AE$12:$AE$25)</f>
        <v>28</v>
      </c>
      <c r="CN26" s="15" t="n">
        <f aca="false">IF(CH26=0,0,INDEX($CC$2:$CC$57,CH26))</f>
        <v>0</v>
      </c>
      <c r="CO26" s="15" t="n">
        <f aca="false">CL26+$V$11+CN26+CJ26*$U$2</f>
        <v>301</v>
      </c>
      <c r="CP26" s="15" t="n">
        <f aca="false">CM26+CH26+CJ26</f>
        <v>43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IF(CK26&lt;32,6,IF(CK26&gt;36,7,CHOOSE(CK26-31,6,6,6,7,7)))</f>
        <v>7</v>
      </c>
      <c r="CT26" s="15" t="n">
        <f aca="false">$V$10+MAX(0,CH26-$V$8)+CJ26*IF($U$2&lt;5,1,0)</f>
        <v>0</v>
      </c>
      <c r="CU26" s="15" t="n">
        <f aca="false">$V$11+CN26+CJ26*$U$2</f>
        <v>161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IF($V$9&lt;=3,1,0)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1028065</v>
      </c>
    </row>
    <row r="27" customFormat="false" ht="15" hidden="false" customHeight="false" outlineLevel="0" collapsed="false">
      <c r="T27" s="15" t="s">
        <v>183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  <c r="CE27" s="15" t="n">
        <f aca="false">36</f>
        <v>36</v>
      </c>
      <c r="CF27" s="15" t="n">
        <f aca="false">CE27-$V$5-$V$6-0</f>
        <v>16</v>
      </c>
      <c r="CG27" s="15" t="n">
        <f aca="false">MAX(0,CF27)</f>
        <v>16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16</v>
      </c>
      <c r="CK27" s="15" t="n">
        <f aca="false">$V$5+CH27+CJ27</f>
        <v>36</v>
      </c>
      <c r="CL27" s="15" t="n">
        <f aca="false">2*BE6+2*BF6+2*BE7+2*BF7+1*BE8+1*BF8</f>
        <v>140</v>
      </c>
      <c r="CM27" s="15" t="n">
        <f aca="false">2*BG6+2*BH6+2*BG7+2*BH7+1*BG8+1*BH8+1*BG9+1*BH9+1*BG10+1*BH10+SUM($AE$12:$AE$25)</f>
        <v>28</v>
      </c>
      <c r="CN27" s="15" t="n">
        <f aca="false">IF(CH27=0,0,INDEX($CC$2:$CC$57,CH27))</f>
        <v>0</v>
      </c>
      <c r="CO27" s="15" t="n">
        <f aca="false">CL27+$V$11+CN27+CJ27*$U$2</f>
        <v>308</v>
      </c>
      <c r="CP27" s="15" t="n">
        <f aca="false">CM27+CH27+CJ27</f>
        <v>44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IF(CK27&lt;32,6,IF(CK27&gt;36,7,CHOOSE(CK27-31,6,6,6,7,7)))</f>
        <v>7</v>
      </c>
      <c r="CT27" s="15" t="n">
        <f aca="false">$V$10+MAX(0,CH27-$V$8)+CJ27*IF($U$2&lt;5,1,0)</f>
        <v>0</v>
      </c>
      <c r="CU27" s="15" t="n">
        <f aca="false">$V$11+CN27+CJ27*$U$2</f>
        <v>168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IF($V$9&lt;=3,1,0)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1028064</v>
      </c>
    </row>
    <row r="28" customFormat="false" ht="15" hidden="false" customHeight="false" outlineLevel="0" collapsed="false">
      <c r="B28" s="5" t="s">
        <v>184</v>
      </c>
      <c r="L28" s="44" t="s">
        <v>185</v>
      </c>
      <c r="T28" s="15" t="s">
        <v>186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187</v>
      </c>
      <c r="L29" s="8" t="s">
        <v>188</v>
      </c>
      <c r="T29" s="15" t="s">
        <v>189</v>
      </c>
      <c r="U29" s="15" t="n">
        <f aca="false">IF(AND($U$17&gt;=$U$26,$U$18&gt;=0),1,0)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190</v>
      </c>
      <c r="L30" s="45" t="s">
        <v>191</v>
      </c>
      <c r="T30" s="15" t="s">
        <v>192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193</v>
      </c>
      <c r="L31" s="46" t="s">
        <v>194</v>
      </c>
      <c r="T31" s="15" t="s">
        <v>195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196</v>
      </c>
      <c r="L32" s="47" t="s">
        <v>197</v>
      </c>
      <c r="T32" s="15" t="s">
        <v>198</v>
      </c>
      <c r="U32" s="15" t="n">
        <f aca="false">IF(AND($U$22&gt;=$U$26,$U$23&gt;=0),1,0)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199</v>
      </c>
      <c r="T33" s="15" t="s">
        <v>200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201</v>
      </c>
      <c r="T34" s="15" t="s">
        <v>202</v>
      </c>
      <c r="U34" s="15" t="n">
        <f aca="false">INDEX($DG$3:$DG$7,$U$13)+$U$27</f>
        <v>37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203</v>
      </c>
      <c r="L35" s="48" t="s">
        <v>204</v>
      </c>
      <c r="T35" s="15" t="s">
        <v>205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206</v>
      </c>
      <c r="T36" s="15" t="s">
        <v>207</v>
      </c>
      <c r="U36" s="15" t="n">
        <f aca="false">IF($U$35=1,INDEX($CQ$3:$CQ$7,$U$13),INDEX($CQ$23:$CQ$27,$U$14))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208</v>
      </c>
      <c r="U37" s="15" t="n">
        <f aca="false">IF($U$35=1,INDEX($CK$3:$CK$7,$U$13),INDEX($CK$23:$CK$27,$U$14))</f>
        <v>32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209</v>
      </c>
      <c r="T38" s="15" t="s">
        <v>210</v>
      </c>
      <c r="U38" s="15" t="n">
        <f aca="false">IF($U$35=1,INDEX($CR$3:$CR$7,$U$13),INDEX($CR$23:$CR$27,$U$14))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211</v>
      </c>
      <c r="T39" s="15" t="s">
        <v>212</v>
      </c>
      <c r="U39" s="15" t="n">
        <f aca="false">IF($U$35=1,INDEX($CS$3:$CS$7,$U$13),INDEX($CS$23:$CS$27,$U$14))</f>
        <v>6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213</v>
      </c>
      <c r="U40" s="15" t="n">
        <f aca="false">IF($U$35=1,INDEX($CT$3:$CT$7,$U$13),INDEX($CT$23:$CT$27,$U$14))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214</v>
      </c>
      <c r="U41" s="15" t="n">
        <f aca="false">IF($U$35=1,INDEX($CL$3:$CL$7,$U$13),INDEX($CL$23:$CL$27,$U$14))</f>
        <v>140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215</v>
      </c>
      <c r="U42" s="15" t="n">
        <f aca="false">IF($U$35=1,INDEX($CU$3:$CU$7,$U$13),INDEX($CU$23:$CU$27,$U$14))</f>
        <v>140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216</v>
      </c>
      <c r="U43" s="15" t="n">
        <f aca="false">IF($U$35=1,INDEX($CP$3:$CP$7,$U$13),INDEX($CP$23:$CP$27,$U$14))</f>
        <v>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217</v>
      </c>
      <c r="U44" s="15" t="n">
        <f aca="false">IF($U$35=1,INDEX($CO$3:$CO$7,$U$13),INDEX($CO$23:$CO$27,$U$14))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218</v>
      </c>
      <c r="U45" s="15" t="n">
        <f aca="false">IF($U$35=1,INDEX($CH$3:$CH$7,$U$13),INDEX($CH$23:$CH$27,$U$14))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219</v>
      </c>
      <c r="U46" s="15" t="n">
        <f aca="false">IF($U$35=1,INDEX($DF$3:$DF$7,$U$13),INDEX($DF$23:$DF$27,$U$14))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220</v>
      </c>
      <c r="U47" s="15" t="n">
        <f aca="false">IF($U$35=1,INDEX($CV$3:$CV$7,$U$13),INDEX($CV$23:$CV$27,$U$14))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221</v>
      </c>
      <c r="U48" s="15" t="n">
        <f aca="false">IF($U$35=1,INDEX($CW$3:$CW$7,$U$13),INDEX($CW$23:$CW$27,$U$14))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222</v>
      </c>
      <c r="U49" s="15" t="n">
        <f aca="false">IF($U$35=1,INDEX($CX$3:$CX$7,$U$13),INDEX($CX$23:$CX$27,$U$14))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223</v>
      </c>
      <c r="U50" s="15" t="n">
        <f aca="false">IF($U$35=1,INDEX($CY$3:$CY$7,$U$13),INDEX($CY$23:$CY$27,$U$14))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224</v>
      </c>
      <c r="U51" s="15" t="n">
        <f aca="false">IF($U$35=1,INDEX($CZ$3:$CZ$7,$U$13),INDEX($CZ$23:$CZ$27,$U$14))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225</v>
      </c>
      <c r="U52" s="15" t="n">
        <f aca="false">IF($U$35=1,INDEX($DA$3:$DA$7,$U$13),INDEX($DA$23:$DA$27,$U$14))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226</v>
      </c>
      <c r="U53" s="15" t="n">
        <f aca="false">IF($U$35=1,INDEX($DB$3:$DB$7,$U$13),INDEX($DB$23:$DB$27,$U$14))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227</v>
      </c>
      <c r="U54" s="15" t="n">
        <f aca="false">IF($U$35=1,INDEX($DC$3:$DC$7,$U$13),INDEX($DC$23:$DC$27,$U$14))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228</v>
      </c>
      <c r="U55" s="15" t="n">
        <f aca="false">IF($U$35=1,INDEX($DD$3:$DD$7,$U$13),INDEX($DD$23:$DD$27,$U$14))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229</v>
      </c>
      <c r="U56" s="15" t="n">
        <f aca="false">IF($U$35=1,INDEX($DE$3:$DE$7,$U$13),INDEX($DE$23:$DE$27,$U$14))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230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231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232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233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234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235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236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150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237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238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239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240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241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9 E10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mk.niedersachsen.de/download/110382/AVO-GOBAK_und_EB-AVO-GOBAK_Maerz_2025.pdf"/>
    <hyperlink ref="B38" r:id="rId3" display="Online-Rechner Niedersachsen mit Statistik und PDF-Download: https://www.abi-rechner.com/bundeslander/niedersachs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Niedersachsen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242</v>
      </c>
    </row>
    <row r="2" customFormat="false" ht="15" hidden="false" customHeight="false" outlineLevel="0" collapsed="false">
      <c r="B2" s="2" t="s">
        <v>243</v>
      </c>
    </row>
    <row r="4" customFormat="false" ht="15" hidden="false" customHeight="false" outlineLevel="0" collapsed="false">
      <c r="B4" s="41" t="s">
        <v>127</v>
      </c>
      <c r="C4" s="41" t="s">
        <v>244</v>
      </c>
      <c r="D4" s="41" t="s">
        <v>245</v>
      </c>
      <c r="F4" s="41" t="s">
        <v>246</v>
      </c>
      <c r="G4" s="41" t="s">
        <v>247</v>
      </c>
      <c r="H4" s="6" t="s">
        <v>248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249</v>
      </c>
      <c r="H5" s="11" t="s">
        <v>250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251</v>
      </c>
      <c r="H6" s="11" t="s">
        <v>250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252</v>
      </c>
      <c r="H7" s="11" t="s">
        <v>250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253</v>
      </c>
      <c r="H8" s="11" t="s">
        <v>254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255</v>
      </c>
      <c r="H9" s="11" t="s">
        <v>254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256</v>
      </c>
      <c r="H10" s="11" t="s">
        <v>254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257</v>
      </c>
      <c r="H11" s="11" t="s">
        <v>258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259</v>
      </c>
      <c r="H12" s="11" t="s">
        <v>258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260</v>
      </c>
      <c r="H13" s="11" t="s">
        <v>258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261</v>
      </c>
      <c r="H14" s="11" t="s">
        <v>262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263</v>
      </c>
      <c r="H15" s="11" t="s">
        <v>262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264</v>
      </c>
      <c r="H16" s="11" t="s">
        <v>262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265</v>
      </c>
      <c r="H17" s="11" t="s">
        <v>266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266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267</v>
      </c>
      <c r="H19" s="11" t="s">
        <v>266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268</v>
      </c>
      <c r="H20" s="11" t="s">
        <v>269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270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271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