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Nordrhein-Westfalen" sheetId="2" state="visible" r:id="rId4"/>
    <sheet name="Punktetabelle" sheetId="3" state="visible" r:id="rId5"/>
  </sheets>
  <definedNames>
    <definedName function="false" hidden="false" localSheetId="1" name="_xlnm.Print_Area" vbProcedure="false">'Nordrhein-Westfalen'!$A$1:$N$40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<sst xmlns="http://schemas.openxmlformats.org/spreadsheetml/2006/main" count="333" uniqueCount="275">
  <si>
    <t xml:space="preserve">Abi-Rechner Nordrhein-Westfalen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</si>
  <si>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</si>
  <si>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</si>
  <si>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</si>
  <si>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</si>
  <si>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</si>
  <si>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</si>
  <si>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</si>
  <si>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</si>
  <si>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</si>
  <si>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</si>
  <si>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</si>
  <si>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</si>
  <si>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</si>
  <si>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</si>
  <si>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</si>
  <si>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</si>
  <si>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</si>
  <si>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</si>
  <si>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</si>
  <si>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</si>
  <si>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</si>
  <si>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Nordrhein-Westfalen</t>
  </si>
  <si>
    <t xml:space="preserve">35–40</t>
  </si>
  <si>
    <t xml:space="preserve">4 (+1 optional)</t>
  </si>
  <si>
    <t xml:space="preserve">Abitur 2027 (APO-GOSt)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</si>
  <si>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</si>
  <si>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</si>
  <si>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</si>
  <si>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</si>
  <si>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</si>
  <si>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</si>
  <si>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</si>
  <si>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Nordrhein-Westfalen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</si>
  <si>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</si>
  <si>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</si>
  <si>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</si>
  <si>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</si>
  <si>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</si>
  <si>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(APO-GOSt)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</si>
  <si>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</si>
  <si>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</si>
  <si>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</si>
  <si>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</si>
  <si>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</si>
  <si>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</si>
  <si>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</si>
  <si>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</si>
  <si>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</si>
  <si>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</si>
  <si>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</si>
  <si>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</si>
  <si>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</si>
  <si>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</si>
  <si>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</si>
  <si>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</si>
  <si>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</si>
  <si>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</si>
  <si>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</si>
  <si>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</si>
  <si>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</si>
  <si>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</si>
  <si>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</si>
  <si>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</si>
  <si>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</si>
  <si>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</si>
  <si>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</si>
  <si>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</si>
  <si>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</si>
  <si>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</si>
  <si>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</si>
  <si>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</si>
  <si>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</si>
  <si>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</si>
  <si>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</si>
  <si>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</si>
  <si>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</si>
  <si>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</si>
  <si>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</si>
  <si>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</si>
  <si>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</si>
  <si>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</si>
  <si>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</si>
  <si>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</si>
  <si>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</si>
  <si>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</si>
  <si>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</si>
  <si>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</si>
  <si>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</si>
  <si>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</si>
  <si>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</si>
  <si>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</si>
  <si>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</si>
  <si>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</si>
  <si>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</si>
  <si>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</si>
  <si>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</si>
  <si>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</si>
  <si>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</si>
  <si>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</si>
  <si>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</si>
  <si>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</si>
  <si>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</si>
  <si>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</si>
  <si>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</si>
  <si>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</si>
  <si>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</si>
  <si>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</si>
  <si>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</si>
  <si>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</si>
  <si>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</si>
  <si>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</si>
  <si>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</si>
  <si>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</si>
  <si>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</si>
  <si>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</si>
  <si>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</si>
  <si>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</si>
  <si>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</si>
  <si>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</si>
  <si>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</si>
  <si>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</si>
  <si>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</si>
  <si>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</si>
  <si>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</si>
  <si>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</si>
  <si>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</si>
  <si>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</si>
  <si>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</si>
  <si>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</si>
  <si>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</si>
  <si>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</si>
  <si>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</si>
  <si>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</si>
  <si>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</si>
  <si>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</si>
  <si>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</si>
  <si>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</si>
  <si>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</si>
  <si>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</si>
  <si>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</si>
  <si>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</si>
  <si>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</si>
  <si>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</si>
  <si>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beste Variante A</t>
  </si>
  <si>
    <t xml:space="preserve">Kurs 4</t>
  </si>
  <si>
    <t xml:space="preserve">Unterkurse (unter 5 Punkten)</t>
  </si>
  <si>
    <t xml:space="preserve">beste Variante F</t>
  </si>
  <si>
    <t xml:space="preserve">Kurs 5</t>
  </si>
  <si>
    <t xml:space="preserve">Hebel: +1 Punkt in einer Prüfung</t>
  </si>
  <si>
    <t xml:space="preserve">Gesamtpunkte</t>
  </si>
  <si>
    <t xml:space="preserve">optionale Prüfung</t>
  </si>
  <si>
    <t xml:space="preserve">Kurs 6</t>
  </si>
  <si>
    <t xml:space="preserve">Hebel: +1 Punkt in einem Halbjahr</t>
  </si>
  <si>
    <t xml:space="preserve">Gesamtpunkte (einfach gewertetes HJ)</t>
  </si>
  <si>
    <t xml:space="preserve">Faktor Prüfungen</t>
  </si>
  <si>
    <t xml:space="preserve">Kurs 7</t>
  </si>
  <si>
    <t xml:space="preserve">Block II A</t>
  </si>
  <si>
    <t xml:space="preserve">Kurs 8</t>
  </si>
  <si>
    <t xml:space="preserve">Bedingungen für die Zulassung / das Bestehen</t>
  </si>
  <si>
    <t xml:space="preserve">Wert</t>
  </si>
  <si>
    <t xml:space="preserve">&gt;=5 Punkte A</t>
  </si>
  <si>
    <t xml:space="preserve">Kurs 9</t>
  </si>
  <si>
    <t xml:space="preserve">Block I mindestens 200 Punkte</t>
  </si>
  <si>
    <t xml:space="preserve">&gt;=5 in Pflichtfächern A</t>
  </si>
  <si>
    <t xml:space="preserve">Kurs 10</t>
  </si>
  <si>
    <t xml:space="preserve">Prüfung 0 A</t>
  </si>
  <si>
    <t xml:space="preserve">Kurs 11</t>
  </si>
  <si>
    <t xml:space="preserve">Höchstens 3 Unterkurse in den Leistungs-/eA-Fächern</t>
  </si>
  <si>
    <t xml:space="preserve">unter Mindestpunktzahl A</t>
  </si>
  <si>
    <t xml:space="preserve">Kurs 12</t>
  </si>
  <si>
    <t xml:space="preserve">Keine Pflicht-Halbjahre mit 0 Punkten</t>
  </si>
  <si>
    <t xml:space="preserve">Block II F</t>
  </si>
  <si>
    <t xml:space="preserve">Kurs 13</t>
  </si>
  <si>
    <t xml:space="preserve">Nicht mehr Pflichtkurse markiert, als eingebracht werden dürfen</t>
  </si>
  <si>
    <t xml:space="preserve">&gt;=5 Punkte F</t>
  </si>
  <si>
    <t xml:space="preserve">Kurs 14</t>
  </si>
  <si>
    <t xml:space="preserve">Block II mindestens 100 Punkte</t>
  </si>
  <si>
    <t xml:space="preserve">&gt;=5 in Pflichtfächern F</t>
  </si>
  <si>
    <t xml:space="preserve">Prüfung 0 F</t>
  </si>
  <si>
    <t xml:space="preserve">Besondere Lernleistung
optional – dann zählen alle Prüfungen vierfach</t>
  </si>
  <si>
    <t xml:space="preserve">optional</t>
  </si>
  <si>
    <t xml:space="preserve">Gesamtpunktzahl mindestens 300</t>
  </si>
  <si>
    <t xml:space="preserve">unter Mindestpunktzahl F</t>
  </si>
  <si>
    <t xml:space="preserve">nötige Prüfungen &gt;=5</t>
  </si>
  <si>
    <t xml:space="preserve">Die Regeln in Nordrhein-Westfalen kurz erklärt</t>
  </si>
  <si>
    <t xml:space="preserve">Legende</t>
  </si>
  <si>
    <t xml:space="preserve">fehlende Prüfungen</t>
  </si>
  <si>
    <t xml:space="preserve">• 35 bis 40 Kurse, davon 8 Leistungskurse (doppelt).</t>
  </si>
  <si>
    <t xml:space="preserve">Eingabefeld (Punkte 0–15)</t>
  </si>
  <si>
    <t xml:space="preserve">B2 Bedingung 0 A</t>
  </si>
  <si>
    <t xml:space="preserve">• Block I = Punktsumme / Anzahl × 40, mathematisch gerundet (der Rechner wählt die beste Anzahl).</t>
  </si>
  <si>
    <t xml:space="preserve">Halbjahr wird eingebracht</t>
  </si>
  <si>
    <t xml:space="preserve">B2 Bedingung 1 A</t>
  </si>
  <si>
    <t xml:space="preserve">• Höchstens 7 Defizite (bei 38–40 Kursen 8), davon höchstens 3 im LK; 0 Punkte nicht anrechenbar.</t>
  </si>
  <si>
    <t xml:space="preserve">eingebracht, aber Unterkurs (unter 5 Punkten)</t>
  </si>
  <si>
    <t xml:space="preserve">B2 gültig A</t>
  </si>
  <si>
    <t xml:space="preserve">• Block II: 4 Abiturfächer fünffach, mit besonderer Lernleistung vierfach.</t>
  </si>
  <si>
    <t xml:space="preserve">wird nicht eingebracht (Streichergebnis)</t>
  </si>
  <si>
    <t xml:space="preserve">B2 Bedingung 0 F</t>
  </si>
  <si>
    <t xml:space="preserve">• Bestehen Block II: mind. 100 Punkte, in 2 Fächern (darunter ein LK) mind. 5 Punkte einfach.</t>
  </si>
  <si>
    <t xml:space="preserve">B2 Bedingung 1 F</t>
  </si>
  <si>
    <t xml:space="preserve">Die Tabelle wählt automatisch die günstigsten Halbjahre aus.</t>
  </si>
  <si>
    <t xml:space="preserve">B2 gültig F</t>
  </si>
  <si>
    <t xml:space="preserve">Quelle: APO-GOSt NRW §§ 28, 29</t>
  </si>
  <si>
    <t xml:space="preserve">Blattschutz ohne Passwort: Überprüfen → Blatt schützen aufheben.</t>
  </si>
  <si>
    <t xml:space="preserve">fehlende Eingaben</t>
  </si>
  <si>
    <t xml:space="preserve">https://recht.nrw.de/lrgv/rechtsverordnung/01082025-verordnung-ueber-den-bildungsgang-und-die-abiturpruefung-der/</t>
  </si>
  <si>
    <t xml:space="preserve">vollständig</t>
  </si>
  <si>
    <t xml:space="preserve">m_pts</t>
  </si>
  <si>
    <t xml:space="preserve">Online-Rechner Nordrhein-Westfalen mit Statistik und PDF-Download: https://www.abi-rechner.com/bundeslander/nordrhein-westfalen/</t>
  </si>
  <si>
    <t xml:space="preserve">m_cnt</t>
  </si>
  <si>
    <t xml:space="preserve">Alle Angaben ohne Gewähr. Maßgeblich ist die Oberstufenverordnung deines Landes und die Auskunft deiner Schule.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</si>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</sst>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recht.nrw.de/lrgv/rechtsverordnung/01082025-verordnung-ueber-den-bildungsgang-und-die-abiturpruefung-der/" TargetMode="External"/><Relationship Id="rId3" Type="http://schemas.openxmlformats.org/officeDocument/2006/relationships/hyperlink" Target="https://www.abi-rechner.com/bundeslander/nordrhein-westfal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Nordrhein-Westfalen'!A1" display="Nordrhein-Westfal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35</f>
        <v>35</v>
      </c>
      <c r="CF3" s="15" t="n">
        <f aca="false">CE3-$U$5-$U$6-0</f>
        <v>19</v>
      </c>
      <c r="CG3" s="15" t="n">
        <f aca="false">MAX(0,CF3)</f>
        <v>19</v>
      </c>
      <c r="CH3" s="15" t="n">
        <f aca="false">MIN(CG3,$U$7)</f>
        <v>0</v>
      </c>
      <c r="CI3" s="15" t="n">
        <f aca="false">CG3-CH3</f>
        <v>19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IF(CK3&lt;35,7,IF(CK3&gt;40,8,CHOOSE(CK3-34,7,7,7,8,8,8)))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IF($U$9&lt;=3,1,0)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35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36</f>
        <v>36</v>
      </c>
      <c r="CF4" s="15" t="n">
        <f aca="false">CE4-$U$5-$U$6-0</f>
        <v>20</v>
      </c>
      <c r="CG4" s="15" t="n">
        <f aca="false">MAX(0,CF4)</f>
        <v>20</v>
      </c>
      <c r="CH4" s="15" t="n">
        <f aca="false">MIN(CG4,$U$7)</f>
        <v>0</v>
      </c>
      <c r="CI4" s="15" t="n">
        <f aca="false">CG4-CH4</f>
        <v>20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IF(CK4&lt;35,7,IF(CK4&gt;40,8,CHOOSE(CK4-34,7,7,7,8,8,8)))</f>
        <v>7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IF($U$9&lt;=3,1,0)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36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37</f>
        <v>37</v>
      </c>
      <c r="CF5" s="15" t="n">
        <f aca="false">CE5-$U$5-$U$6-0</f>
        <v>21</v>
      </c>
      <c r="CG5" s="15" t="n">
        <f aca="false">MAX(0,CF5)</f>
        <v>21</v>
      </c>
      <c r="CH5" s="15" t="n">
        <f aca="false">MIN(CG5,$U$7)</f>
        <v>0</v>
      </c>
      <c r="CI5" s="15" t="n">
        <f aca="false">CG5-CH5</f>
        <v>21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IF(CK5&lt;35,7,IF(CK5&gt;40,8,CHOOSE(CK5-34,7,7,7,8,8,8)))</f>
        <v>7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IF($U$9&lt;=3,1,0)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37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  <c r="CE6" s="15" t="n">
        <f aca="false">38</f>
        <v>38</v>
      </c>
      <c r="CF6" s="15" t="n">
        <f aca="false">CE6-$U$5-$U$6-0</f>
        <v>22</v>
      </c>
      <c r="CG6" s="15" t="n">
        <f aca="false">MAX(0,CF6)</f>
        <v>22</v>
      </c>
      <c r="CH6" s="15" t="n">
        <f aca="false">MIN(CG6,$U$7)</f>
        <v>0</v>
      </c>
      <c r="CI6" s="15" t="n">
        <f aca="false">CG6-CH6</f>
        <v>22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2*AY6+2*AZ6+2*AY7+2*AZ7+1*AY8+1*AZ8+1*AY9+1*AZ9+SUM($AA$11:$AA$24)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IF(CK6&lt;35,7,IF(CK6&gt;40,8,CHOOSE(CK6-34,7,7,7,8,8,8)))</f>
        <v>7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IF($U$9&lt;=3,1,0)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38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IF($U$4=0,"",$U$37)</f>
        <v/>
      </c>
      <c r="N7" s="29" t="s">
        <v>115</v>
      </c>
      <c r="T7" s="15" t="s">
        <v>116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  <c r="CE7" s="15" t="n">
        <f aca="false">39</f>
        <v>39</v>
      </c>
      <c r="CF7" s="15" t="n">
        <f aca="false">CE7-$U$5-$U$6-0</f>
        <v>23</v>
      </c>
      <c r="CG7" s="15" t="n">
        <f aca="false">MAX(0,CF7)</f>
        <v>23</v>
      </c>
      <c r="CH7" s="15" t="n">
        <f aca="false">MIN(CG7,$U$7)</f>
        <v>0</v>
      </c>
      <c r="CI7" s="15" t="n">
        <f aca="false">CG7-CH7</f>
        <v>23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2*AY6+2*AZ6+2*AY7+2*AZ7+1*AY8+1*AZ8+1*AY9+1*AZ9+SUM($AA$11:$AA$24)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IF(CK7&lt;35,7,IF(CK7&gt;40,8,CHOOSE(CK7-34,7,7,7,8,8,8)))</f>
        <v>7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IF($U$9&lt;=3,1,0)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39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IF($U$4=0,"",$U$60)</f>
        <v/>
      </c>
      <c r="N8" s="29" t="s">
        <v>119</v>
      </c>
      <c r="T8" s="15" t="s">
        <v>120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  <c r="CE8" s="15" t="n">
        <f aca="false">40</f>
        <v>40</v>
      </c>
      <c r="CF8" s="15" t="n">
        <f aca="false">CE8-$U$5-$U$6-0</f>
        <v>24</v>
      </c>
      <c r="CG8" s="15" t="n">
        <f aca="false">MAX(0,CF8)</f>
        <v>24</v>
      </c>
      <c r="CH8" s="15" t="n">
        <f aca="false">MIN(CG8,$U$7)</f>
        <v>0</v>
      </c>
      <c r="CI8" s="15" t="n">
        <f aca="false">CG8-CH8</f>
        <v>24</v>
      </c>
      <c r="CJ8" s="15" t="n">
        <f aca="false">0</f>
        <v>0</v>
      </c>
      <c r="CK8" s="15" t="n">
        <f aca="false">$U$5+CH8+CJ8</f>
        <v>0</v>
      </c>
      <c r="CL8" s="15" t="n">
        <f aca="false">2*AW6+2*AX6+2*AW7+2*AX7</f>
        <v>0</v>
      </c>
      <c r="CM8" s="15" t="n">
        <f aca="false">2*AY6+2*AZ6+2*AY7+2*AZ7+1*AY8+1*AZ8+1*AY9+1*AZ9+SUM($AA$11:$AA$24)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IF(CK8&lt;35,7,IF(CK8&gt;40,8,CHOOSE(CK8-34,7,7,7,8,8,8)))</f>
        <v>7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IF($U$9&lt;=3,1,0)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40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IF($U$4=0,"",$U$65)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126</v>
      </c>
      <c r="C10" s="6" t="s">
        <v>74</v>
      </c>
      <c r="D10" s="33" t="s">
        <v>127</v>
      </c>
      <c r="E10" s="34" t="s">
        <v>75</v>
      </c>
      <c r="F10" s="34" t="s">
        <v>76</v>
      </c>
      <c r="G10" s="34" t="s">
        <v>77</v>
      </c>
      <c r="H10" s="34" t="s">
        <v>78</v>
      </c>
      <c r="I10" s="20"/>
      <c r="J10" s="20"/>
      <c r="L10" s="31" t="s">
        <v>128</v>
      </c>
      <c r="M10" s="35" t="str">
        <f aca="false">IF($U$4=0,"",IF($U$67=1,$U$68/10,"nicht bestanden"))</f>
        <v/>
      </c>
      <c r="N10" s="29"/>
      <c r="T10" s="15" t="s">
        <v>129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130</v>
      </c>
      <c r="Y10" s="15" t="s">
        <v>131</v>
      </c>
      <c r="Z10" s="15" t="s">
        <v>132</v>
      </c>
      <c r="AA10" s="15" t="s">
        <v>133</v>
      </c>
      <c r="AB10" s="15" t="s">
        <v>89</v>
      </c>
      <c r="AC10" s="15" t="s">
        <v>90</v>
      </c>
      <c r="AD10" s="15" t="s">
        <v>134</v>
      </c>
      <c r="AE10" s="15" t="s">
        <v>135</v>
      </c>
      <c r="AF10" s="15" t="s">
        <v>97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136</v>
      </c>
      <c r="C11" s="37"/>
      <c r="D11" s="38"/>
      <c r="E11" s="24"/>
      <c r="F11" s="24"/>
      <c r="G11" s="24"/>
      <c r="H11" s="24"/>
      <c r="I11" s="39"/>
      <c r="J11" s="39"/>
      <c r="L11" s="26" t="s">
        <v>137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138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141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144</v>
      </c>
      <c r="U13" s="15" t="n">
        <f aca="false">MATCH(MAX($DH$3:$DH$8),$DH$3:$DH$8,0)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147</v>
      </c>
      <c r="U14" s="15" t="n">
        <f aca="false">MATCH(MAX($DH$23:$DH$28),$DH$23:$DH$28,0)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IF($U$4=0,"","+"&amp;$U$16)</f>
        <v/>
      </c>
      <c r="N15" s="29" t="s">
        <v>150</v>
      </c>
      <c r="T15" s="15" t="s">
        <v>151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+"&amp;FIXED(40/$U$44,2))</f>
        <v/>
      </c>
      <c r="N16" s="29" t="s">
        <v>154</v>
      </c>
      <c r="T16" s="15" t="s">
        <v>155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164</v>
      </c>
      <c r="U19" s="15" t="n">
        <f aca="false">BP6+BP7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166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IF($U$4=0,"",IF($U$50=1,"✓ erfüllt","✗ nicht erfüllt"))</f>
        <v/>
      </c>
      <c r="N21" s="36" t="str">
        <f aca="false">IF($U$4=0,"",$U$59&amp;" Unterkurse")</f>
        <v/>
      </c>
      <c r="T21" s="15" t="s">
        <v>169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IF($U$4=0,"",IF($U$54=1,"✓ erfüllt","✗ nicht erfüllt"))</f>
        <v/>
      </c>
      <c r="N22" s="36" t="str">
        <f aca="false">IF($U$4=0,"",$U$12&amp;" mit 0 Punkten")</f>
        <v/>
      </c>
      <c r="T22" s="15" t="s">
        <v>172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22.3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IF($U$4=0,"",IF($U$57=1,"✓ erfüllt","✗ nicht erfüllt"))</f>
        <v/>
      </c>
      <c r="N23" s="36"/>
      <c r="T23" s="15" t="s">
        <v>175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35</f>
        <v>35</v>
      </c>
      <c r="CF23" s="15" t="n">
        <f aca="false">CE23-$V$5-$V$6-0</f>
        <v>19</v>
      </c>
      <c r="CG23" s="15" t="n">
        <f aca="false">MAX(0,CF23)</f>
        <v>19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19</v>
      </c>
      <c r="CK23" s="15" t="n">
        <f aca="false">$V$5+CH23+CJ23</f>
        <v>35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301</v>
      </c>
      <c r="CP23" s="15" t="n">
        <f aca="false">CM23+CH23+CJ23</f>
        <v>43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IF(CK23&lt;35,7,IF(CK23&gt;40,8,CHOOSE(CK23-34,7,7,7,8,8,8)))</f>
        <v>7</v>
      </c>
      <c r="CT23" s="15" t="n">
        <f aca="false">$V$10+MAX(0,CH23-$V$8)+CJ23*IF($U$2&lt;5,1,0)</f>
        <v>0</v>
      </c>
      <c r="CU23" s="15" t="n">
        <f aca="false">$V$11+CN23+CJ23*$U$2</f>
        <v>189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IF($V$9&lt;=3,1,0)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1028065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IF($U$4=0,"",IF($U$62=1,"✓ erfüllt","✗ nicht erfüllt"))</f>
        <v/>
      </c>
      <c r="N24" s="36" t="str">
        <f aca="false">IF($U$4=0,"",$U$60&amp;" Punkte")</f>
        <v/>
      </c>
      <c r="T24" s="15" t="s">
        <v>178</v>
      </c>
      <c r="U24" s="15" t="n">
        <f aca="false">BV6+BV7</f>
        <v>2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36</f>
        <v>36</v>
      </c>
      <c r="CF24" s="15" t="n">
        <f aca="false">CE24-$V$5-$V$6-0</f>
        <v>20</v>
      </c>
      <c r="CG24" s="15" t="n">
        <f aca="false">MAX(0,CF24)</f>
        <v>20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20</v>
      </c>
      <c r="CK24" s="15" t="n">
        <f aca="false">$V$5+CH24+CJ24</f>
        <v>36</v>
      </c>
      <c r="CL24" s="15" t="n">
        <f aca="false">2*BE6+2*BF6+2*BE7+2*BF7</f>
        <v>112</v>
      </c>
      <c r="CM24" s="15" t="n">
        <f aca="false">2*BG6+2*BH6+2*BG7+2*BH7+1*BG8+1*BH8+1*BG9+1*BH9+SUM($AE$11:$AE$24)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308</v>
      </c>
      <c r="CP24" s="15" t="n">
        <f aca="false">CM24+CH24+CJ24</f>
        <v>44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IF(CK24&lt;35,7,IF(CK24&gt;40,8,CHOOSE(CK24-34,7,7,7,8,8,8)))</f>
        <v>7</v>
      </c>
      <c r="CT24" s="15" t="n">
        <f aca="false">$V$10+MAX(0,CH24-$V$8)+CJ24*IF($U$2&lt;5,1,0)</f>
        <v>0</v>
      </c>
      <c r="CU24" s="15" t="n">
        <f aca="false">$V$11+CN24+CJ24*$U$2</f>
        <v>196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IF($V$9&lt;=3,1,0)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1028064</v>
      </c>
    </row>
    <row r="25" customFormat="false" ht="22.35" hidden="false" customHeight="false" outlineLevel="0" collapsed="false">
      <c r="L25" s="42" t="str">
        <f aca="false">"In mindestens "&amp;$U$27&amp;" Prüfungen mindestens 5 Punkte (einfach), davon eine im 1./2. Prüfungsfach"</f>
        <v>In mindestens 2 Prüfungen mindestens 5 Punkte (einfach), davon eine im 1./2. Prüfungsfach</v>
      </c>
      <c r="M25" s="43" t="str">
        <f aca="false">IF($U$4=0,"",IF($U$63=1,"✓ erfüllt","✗ nicht erfüllt"))</f>
        <v/>
      </c>
      <c r="N25" s="36" t="str">
        <f aca="false">IF($U$4=0,"",$U$61&amp;" Prüfungen")</f>
        <v/>
      </c>
      <c r="T25" s="15" t="s">
        <v>179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37</f>
        <v>37</v>
      </c>
      <c r="CF25" s="15" t="n">
        <f aca="false">CE25-$V$5-$V$6-0</f>
        <v>21</v>
      </c>
      <c r="CG25" s="15" t="n">
        <f aca="false">MAX(0,CF25)</f>
        <v>21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21</v>
      </c>
      <c r="CK25" s="15" t="n">
        <f aca="false">$V$5+CH25+CJ25</f>
        <v>37</v>
      </c>
      <c r="CL25" s="15" t="n">
        <f aca="false">2*BE6+2*BF6+2*BE7+2*BF7</f>
        <v>112</v>
      </c>
      <c r="CM25" s="15" t="n">
        <f aca="false">2*BG6+2*BH6+2*BG7+2*BH7+1*BG8+1*BH8+1*BG9+1*BH9+SUM($AE$11:$AE$24)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315</v>
      </c>
      <c r="CP25" s="15" t="n">
        <f aca="false">CM25+CH25+CJ25</f>
        <v>45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IF(CK25&lt;35,7,IF(CK25&gt;40,8,CHOOSE(CK25-34,7,7,7,8,8,8)))</f>
        <v>7</v>
      </c>
      <c r="CT25" s="15" t="n">
        <f aca="false">$V$10+MAX(0,CH25-$V$8)+CJ25*IF($U$2&lt;5,1,0)</f>
        <v>0</v>
      </c>
      <c r="CU25" s="15" t="n">
        <f aca="false">$V$11+CN25+CJ25*$U$2</f>
        <v>203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IF($V$9&lt;=3,1,0)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1028063</v>
      </c>
    </row>
    <row r="26" customFormat="false" ht="30" hidden="false" customHeight="true" outlineLevel="0" collapsed="false">
      <c r="B26" s="21" t="s">
        <v>180</v>
      </c>
      <c r="C26" s="37"/>
      <c r="I26" s="25"/>
      <c r="J26" s="44" t="s">
        <v>181</v>
      </c>
      <c r="L26" s="42" t="s">
        <v>182</v>
      </c>
      <c r="M26" s="43" t="str">
        <f aca="false">IF($U$4=0,"",IF($U$66=1,"✓ erfüllt","✗ nicht erfüllt"))</f>
        <v/>
      </c>
      <c r="N26" s="36" t="str">
        <f aca="false">IF($U$4=0,"",$U$65&amp;" Punkte")</f>
        <v/>
      </c>
      <c r="T26" s="15" t="s">
        <v>183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  <c r="CE26" s="15" t="n">
        <f aca="false">38</f>
        <v>38</v>
      </c>
      <c r="CF26" s="15" t="n">
        <f aca="false">CE26-$V$5-$V$6-0</f>
        <v>22</v>
      </c>
      <c r="CG26" s="15" t="n">
        <f aca="false">MAX(0,CF26)</f>
        <v>22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22</v>
      </c>
      <c r="CK26" s="15" t="n">
        <f aca="false">$V$5+CH26+CJ26</f>
        <v>38</v>
      </c>
      <c r="CL26" s="15" t="n">
        <f aca="false">2*BE6+2*BF6+2*BE7+2*BF7</f>
        <v>112</v>
      </c>
      <c r="CM26" s="15" t="n">
        <f aca="false">2*BG6+2*BH6+2*BG7+2*BH7+1*BG8+1*BH8+1*BG9+1*BH9+SUM($AE$11:$AE$24)</f>
        <v>24</v>
      </c>
      <c r="CN26" s="15" t="n">
        <f aca="false">IF(CH26=0,0,INDEX($CC$2:$CC$57,CH26))</f>
        <v>0</v>
      </c>
      <c r="CO26" s="15" t="n">
        <f aca="false">CL26+$V$11+CN26+CJ26*$U$2</f>
        <v>322</v>
      </c>
      <c r="CP26" s="15" t="n">
        <f aca="false">CM26+CH26+CJ26</f>
        <v>46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IF(CK26&lt;35,7,IF(CK26&gt;40,8,CHOOSE(CK26-34,7,7,7,8,8,8)))</f>
        <v>8</v>
      </c>
      <c r="CT26" s="15" t="n">
        <f aca="false">$V$10+MAX(0,CH26-$V$8)+CJ26*IF($U$2&lt;5,1,0)</f>
        <v>0</v>
      </c>
      <c r="CU26" s="15" t="n">
        <f aca="false">$V$11+CN26+CJ26*$U$2</f>
        <v>210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IF($V$9&lt;=3,1,0)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1028062</v>
      </c>
    </row>
    <row r="27" customFormat="false" ht="15" hidden="false" customHeight="false" outlineLevel="0" collapsed="false">
      <c r="T27" s="15" t="s">
        <v>184</v>
      </c>
      <c r="U27" s="15" t="n">
        <f aca="false">2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  <c r="CE27" s="15" t="n">
        <f aca="false">39</f>
        <v>39</v>
      </c>
      <c r="CF27" s="15" t="n">
        <f aca="false">CE27-$V$5-$V$6-0</f>
        <v>23</v>
      </c>
      <c r="CG27" s="15" t="n">
        <f aca="false">MAX(0,CF27)</f>
        <v>23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23</v>
      </c>
      <c r="CK27" s="15" t="n">
        <f aca="false">$V$5+CH27+CJ27</f>
        <v>39</v>
      </c>
      <c r="CL27" s="15" t="n">
        <f aca="false">2*BE6+2*BF6+2*BE7+2*BF7</f>
        <v>112</v>
      </c>
      <c r="CM27" s="15" t="n">
        <f aca="false">2*BG6+2*BH6+2*BG7+2*BH7+1*BG8+1*BH8+1*BG9+1*BH9+SUM($AE$11:$AE$24)</f>
        <v>24</v>
      </c>
      <c r="CN27" s="15" t="n">
        <f aca="false">IF(CH27=0,0,INDEX($CC$2:$CC$57,CH27))</f>
        <v>0</v>
      </c>
      <c r="CO27" s="15" t="n">
        <f aca="false">CL27+$V$11+CN27+CJ27*$U$2</f>
        <v>329</v>
      </c>
      <c r="CP27" s="15" t="n">
        <f aca="false">CM27+CH27+CJ27</f>
        <v>47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IF(CK27&lt;35,7,IF(CK27&gt;40,8,CHOOSE(CK27-34,7,7,7,8,8,8)))</f>
        <v>8</v>
      </c>
      <c r="CT27" s="15" t="n">
        <f aca="false">$V$10+MAX(0,CH27-$V$8)+CJ27*IF($U$2&lt;5,1,0)</f>
        <v>0</v>
      </c>
      <c r="CU27" s="15" t="n">
        <f aca="false">$V$11+CN27+CJ27*$U$2</f>
        <v>217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IF($V$9&lt;=3,1,0)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1028061</v>
      </c>
    </row>
    <row r="28" customFormat="false" ht="15" hidden="false" customHeight="false" outlineLevel="0" collapsed="false">
      <c r="B28" s="5" t="s">
        <v>185</v>
      </c>
      <c r="L28" s="45" t="s">
        <v>186</v>
      </c>
      <c r="T28" s="15" t="s">
        <v>187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  <c r="CE28" s="15" t="n">
        <f aca="false">40</f>
        <v>40</v>
      </c>
      <c r="CF28" s="15" t="n">
        <f aca="false">CE28-$V$5-$V$6-0</f>
        <v>24</v>
      </c>
      <c r="CG28" s="15" t="n">
        <f aca="false">MAX(0,CF28)</f>
        <v>24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24</v>
      </c>
      <c r="CK28" s="15" t="n">
        <f aca="false">$V$5+CH28+CJ28</f>
        <v>40</v>
      </c>
      <c r="CL28" s="15" t="n">
        <f aca="false">2*BE6+2*BF6+2*BE7+2*BF7</f>
        <v>112</v>
      </c>
      <c r="CM28" s="15" t="n">
        <f aca="false">2*BG6+2*BH6+2*BG7+2*BH7+1*BG8+1*BH8+1*BG9+1*BH9+SUM($AE$11:$AE$24)</f>
        <v>24</v>
      </c>
      <c r="CN28" s="15" t="n">
        <f aca="false">IF(CH28=0,0,INDEX($CC$2:$CC$57,CH28))</f>
        <v>0</v>
      </c>
      <c r="CO28" s="15" t="n">
        <f aca="false">CL28+$V$11+CN28+CJ28*$U$2</f>
        <v>336</v>
      </c>
      <c r="CP28" s="15" t="n">
        <f aca="false">CM28+CH28+CJ28</f>
        <v>48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IF(CK28&lt;35,7,IF(CK28&gt;40,8,CHOOSE(CK28-34,7,7,7,8,8,8)))</f>
        <v>8</v>
      </c>
      <c r="CT28" s="15" t="n">
        <f aca="false">$V$10+MAX(0,CH28-$V$8)+CJ28*IF($U$2&lt;5,1,0)</f>
        <v>0</v>
      </c>
      <c r="CU28" s="15" t="n">
        <f aca="false">$V$11+CN28+CJ28*$U$2</f>
        <v>224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IF($V$9&lt;=3,1,0)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1028060</v>
      </c>
    </row>
    <row r="29" customFormat="false" ht="15" hidden="false" customHeight="false" outlineLevel="0" collapsed="false">
      <c r="B29" s="12" t="s">
        <v>188</v>
      </c>
      <c r="L29" s="8" t="s">
        <v>189</v>
      </c>
      <c r="T29" s="15" t="s">
        <v>190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191</v>
      </c>
      <c r="L30" s="46" t="s">
        <v>192</v>
      </c>
      <c r="T30" s="15" t="s">
        <v>193</v>
      </c>
      <c r="U30" s="15" t="n">
        <f aca="false">IF(AND($U$18&gt;=$U$27,$U$19&gt;=1),1,0)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194</v>
      </c>
      <c r="L31" s="47" t="s">
        <v>195</v>
      </c>
      <c r="T31" s="15" t="s">
        <v>196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197</v>
      </c>
      <c r="L32" s="48" t="s">
        <v>198</v>
      </c>
      <c r="T32" s="15" t="s">
        <v>199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200</v>
      </c>
      <c r="T33" s="15" t="s">
        <v>201</v>
      </c>
      <c r="U33" s="15" t="n">
        <f aca="false">IF(AND($U$23&gt;=$U$27,$U$24&gt;=1),1,0)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9" t="s">
        <v>202</v>
      </c>
      <c r="T34" s="15" t="s">
        <v>203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204</v>
      </c>
      <c r="L35" s="49" t="s">
        <v>205</v>
      </c>
      <c r="T35" s="15" t="s">
        <v>206</v>
      </c>
      <c r="U35" s="15" t="n">
        <f aca="false">INDEX($DG$3:$DG$8,$U$13)+$U$28</f>
        <v>39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207</v>
      </c>
      <c r="T36" s="15" t="s">
        <v>208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209</v>
      </c>
      <c r="U37" s="15" t="n">
        <f aca="false">IF($U$36=1,INDEX($CQ$3:$CQ$8,$U$13),INDEX($CQ$23:$CQ$28,$U$14))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210</v>
      </c>
      <c r="T38" s="15" t="s">
        <v>211</v>
      </c>
      <c r="U38" s="15" t="n">
        <f aca="false">IF($U$36=1,INDEX($CK$3:$CK$8,$U$13),INDEX($CK$23:$CK$28,$U$14))</f>
        <v>35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212</v>
      </c>
      <c r="T39" s="15" t="s">
        <v>213</v>
      </c>
      <c r="U39" s="15" t="n">
        <f aca="false">IF($U$36=1,INDEX($CR$3:$CR$8,$U$13),INDEX($CR$23:$CR$28,$U$14))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214</v>
      </c>
      <c r="U40" s="15" t="n">
        <f aca="false">IF($U$36=1,INDEX($CS$3:$CS$8,$U$13),INDEX($CS$23:$CS$28,$U$14))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215</v>
      </c>
      <c r="U41" s="15" t="n">
        <f aca="false">IF($U$36=1,INDEX($CT$3:$CT$8,$U$13),INDEX($CT$23:$CT$28,$U$14))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216</v>
      </c>
      <c r="U42" s="15" t="n">
        <f aca="false">IF($U$36=1,INDEX($CL$3:$CL$8,$U$13),INDEX($CL$23:$CL$28,$U$14))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217</v>
      </c>
      <c r="U43" s="15" t="n">
        <f aca="false">IF($U$36=1,INDEX($CU$3:$CU$8,$U$13),INDEX($CU$23:$CU$28,$U$14))</f>
        <v>189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218</v>
      </c>
      <c r="U44" s="15" t="n">
        <f aca="false">IF($U$36=1,INDEX($CP$3:$CP$8,$U$13),INDEX($CP$23:$CP$28,$U$14))</f>
        <v>43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219</v>
      </c>
      <c r="U45" s="15" t="n">
        <f aca="false">IF($U$36=1,INDEX($CO$3:$CO$8,$U$13),INDEX($CO$23:$CO$28,$U$14))</f>
        <v>301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220</v>
      </c>
      <c r="U46" s="15" t="n">
        <f aca="false">IF($U$36=1,INDEX($CH$3:$CH$8,$U$13),INDEX($CH$23:$CH$28,$U$14))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221</v>
      </c>
      <c r="U47" s="15" t="n">
        <f aca="false">IF($U$36=1,INDEX($DF$3:$DF$8,$U$13),INDEX($DF$23:$DF$28,$U$14))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222</v>
      </c>
      <c r="U48" s="15" t="n">
        <f aca="false">IF($U$36=1,INDEX($CV$3:$CV$8,$U$13),INDEX($CV$23:$CV$28,$U$14))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223</v>
      </c>
      <c r="U49" s="15" t="n">
        <f aca="false">IF($U$36=1,INDEX($CW$3:$CW$8,$U$13),INDEX($CW$23:$CW$28,$U$14))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224</v>
      </c>
      <c r="U50" s="15" t="n">
        <f aca="false">IF($U$36=1,INDEX($CX$3:$CX$8,$U$13),INDEX($CX$23:$CX$28,$U$14))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225</v>
      </c>
      <c r="U51" s="15" t="n">
        <f aca="false">IF($U$36=1,INDEX($CY$3:$CY$8,$U$13),INDEX($CY$23:$CY$28,$U$14))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226</v>
      </c>
      <c r="U52" s="15" t="n">
        <f aca="false">IF($U$36=1,INDEX($CZ$3:$CZ$8,$U$13),INDEX($CZ$23:$CZ$28,$U$14))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227</v>
      </c>
      <c r="U53" s="15" t="n">
        <f aca="false">IF($U$36=1,INDEX($DA$3:$DA$8,$U$13),INDEX($DA$23:$DA$28,$U$14))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228</v>
      </c>
      <c r="U54" s="15" t="n">
        <f aca="false">IF($U$36=1,INDEX($DB$3:$DB$8,$U$13),INDEX($DB$23:$DB$28,$U$14))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229</v>
      </c>
      <c r="U55" s="15" t="n">
        <f aca="false">IF($U$36=1,INDEX($DC$3:$DC$8,$U$13),INDEX($DC$23:$DC$28,$U$14))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230</v>
      </c>
      <c r="U56" s="15" t="n">
        <f aca="false">IF($U$36=1,INDEX($DD$3:$DD$8,$U$13),INDEX($DD$23:$DD$28,$U$14))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231</v>
      </c>
      <c r="U57" s="15" t="n">
        <f aca="false">IF($U$36=1,INDEX($DE$3:$DE$8,$U$13),INDEX($DE$23:$DE$28,$U$14))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232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233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234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235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236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237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238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150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239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240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241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242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243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recht.nrw.de/lrgv/rechtsverordnung/01082025-verordnung-ueber-den-bildungsgang-und-die-abiturpruefung-der/"/>
    <hyperlink ref="B38" r:id="rId3" display="Online-Rechner Nordrhein-Westfalen mit Statistik und PDF-Download: https://www.abi-rechner.com/bundeslander/nordrhein-westfal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Nordrhein-Westfalen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244</v>
      </c>
    </row>
    <row r="2" customFormat="false" ht="15" hidden="false" customHeight="false" outlineLevel="0" collapsed="false">
      <c r="B2" s="2" t="s">
        <v>245</v>
      </c>
    </row>
    <row r="4" customFormat="false" ht="15" hidden="false" customHeight="false" outlineLevel="0" collapsed="false">
      <c r="B4" s="41" t="s">
        <v>128</v>
      </c>
      <c r="C4" s="41" t="s">
        <v>246</v>
      </c>
      <c r="D4" s="41" t="s">
        <v>247</v>
      </c>
      <c r="F4" s="41" t="s">
        <v>248</v>
      </c>
      <c r="G4" s="41" t="s">
        <v>249</v>
      </c>
      <c r="H4" s="6" t="s">
        <v>250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251</v>
      </c>
      <c r="H5" s="11" t="s">
        <v>252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253</v>
      </c>
      <c r="H6" s="11" t="s">
        <v>252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254</v>
      </c>
      <c r="H7" s="11" t="s">
        <v>252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255</v>
      </c>
      <c r="H8" s="11" t="s">
        <v>256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257</v>
      </c>
      <c r="H9" s="11" t="s">
        <v>256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258</v>
      </c>
      <c r="H10" s="11" t="s">
        <v>256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259</v>
      </c>
      <c r="H11" s="11" t="s">
        <v>260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261</v>
      </c>
      <c r="H12" s="11" t="s">
        <v>260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262</v>
      </c>
      <c r="H13" s="11" t="s">
        <v>260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263</v>
      </c>
      <c r="H14" s="11" t="s">
        <v>264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265</v>
      </c>
      <c r="H15" s="11" t="s">
        <v>264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266</v>
      </c>
      <c r="H16" s="11" t="s">
        <v>264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267</v>
      </c>
      <c r="H17" s="11" t="s">
        <v>268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269</v>
      </c>
      <c r="H18" s="11" t="s">
        <v>268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270</v>
      </c>
      <c r="H19" s="11" t="s">
        <v>268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271</v>
      </c>
      <c r="H20" s="11" t="s">
        <v>272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273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