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" sheetId="1" state="visible" r:id="rId3"/>
    <sheet name="Thüringen" sheetId="2" state="visible" r:id="rId4"/>
    <sheet name="Punktetabelle" sheetId="3" state="visible" r:id="rId5"/>
  </sheets>
  <definedNames>
    <definedName function="false" hidden="false" localSheetId="2" name="_xlnm.Print_Area" vbProcedure="false">Punktetabelle!$A$1:$H$37</definedName>
    <definedName function="false" hidden="false" localSheetId="1" name="_xlnm.Print_Area" vbProcedure="false">Thüringen!$A$1:$N$40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1" authorId="0">
      <text>
        <r>
          <rPr>
            <sz val="10"/>
            <rFont val="Arial"/>
            <family val="2"/>
          </rPr>
          <t xml:space="preserve">x = dieser Kurs MUSS eingebracht werden (z. B. Deutsch, Mathe, Fremdsprache nach den Regeln deines Landes). Ohne x wählt die Tabelle automatisch die besten Halbjahre aus.</t>
        </r>
      </text>
    </comment>
    <comment ref="E5" authorId="0">
      <text>
        <r>
          <rPr>
            <sz val="10"/>
            <rFont val="Arial"/>
            <family val="2"/>
          </rPr>
          <t xml:space="preserve">HJ 1–4 = die vier Halbjahre der Qualifikationsphase (z. B. Q1.1, Q1.2, Q2.1, Q2.2 bzw. 12/1 … 13/2).</t>
        </r>
      </text>
    </comment>
  </commentList>
</comments>
</file>

<file path=xl/sharedStrings.xml><?xml version="1.0" encoding="utf-8"?>
<sst xmlns="http://schemas.openxmlformats.org/spreadsheetml/2006/main" count="332" uniqueCount="271">
  <si>
    <t xml:space="preserve">Abi-Rechner Thüringen für Excel – Abitur 2027</t>
  </si>
  <si>
    <t xml:space="preserve">Stand: September 2026 · kostenlos von abi-rechner.com · aktuelle Regeln mit Quelle</t>
  </si>
  <si>
    <t xml:space="preserve">So funktioniert’s</t>
  </si>
  <si>
    <t xml:space="preserve">1. Öffne das Blatt deines Bundeslandes.</t>
  </si>
  <si>
    <t xml:space="preserve">2. Trag deine Punkte (0–15) in die gelben Felder ein: Halbjahre der Prüfungsfächer, Prüfungen und weitere Kurse.</t>
  </si>
  <si>
    <t xml:space="preserve">3. Markiere Kurse, die du einbringen MUSST, in der Spalte „Pflicht“ mit x. Den Rest wählt die Tabelle optimal aus.</t>
  </si>
  <si>
    <t xml:space="preserve">4. Rechts siehst du sofort Block I, Block II, Gesamtpunkte, Abiturnote und alle Bedingungen.</t>
  </si>
  <si>
    <t xml:space="preserve">5. Noch nicht alles bekannt? Leere Felder werden mit deinem bisherigen Schnitt gefüllt – das ist dann eine Prognose.</t>
  </si>
  <si>
    <t xml:space="preserve">Beispiel einer Eingabezeile</t>
  </si>
  <si>
    <t xml:space="preserve">Prüfungsfach</t>
  </si>
  <si>
    <t xml:space="preserve">HJ 1 – HJ 4</t>
  </si>
  <si>
    <t xml:space="preserve">Prüfung</t>
  </si>
  <si>
    <t xml:space="preserve">Ergebnis</t>
  </si>
  <si>
    <t xml:space="preserve">1. Prüfungsfach (Leistungskurs)</t>
  </si>
  <si>
    <t xml:space="preserve">11 · 12 · 10 · 13</t>
  </si>
  <si>
    <t xml:space="preserve">12</t>
  </si>
  <si>
    <t xml:space="preserve">Halbjahre grün = eingebracht, rot = Unterkurs</t>
  </si>
  <si>
    <t xml:space="preserve">Dein Blatt</t>
  </si>
  <si>
    <t xml:space="preserve">Bundesland</t>
  </si>
  <si>
    <t xml:space="preserve">eingebr. Halbjahre</t>
  </si>
  <si>
    <t xml:space="preserve">Prüfungen</t>
  </si>
  <si>
    <t xml:space="preserve">Rechtsgrundlage</t>
  </si>
  <si>
    <t xml:space="preserve">Thüringen</t>
  </si>
  <si>
    <t xml:space="preserve">36</t>
  </si>
  <si>
    <t xml:space="preserve">5</t>
  </si>
  <si>
    <t xml:space="preserve">Abitur 2027 und später (ThürSchulO)</t>
  </si>
  <si>
    <t xml:space="preserve">Gut zu wissen</t>
  </si>
  <si>
    <t xml:space="preserve">• Die Abiturnote wird bundesweit einheitlich aus der Gesamtpunktzahl (300–900) berechnet: Note = 17/3 − Punkte/180, auf eine Stelle abgeschnitten; ab 823 Punkten 1,0.</t>
  </si>
  <si>
    <t xml:space="preserve">• Die Umrechnungstabelle findest du im Blatt „Punktetabelle“.</t>
  </si>
  <si>
    <t xml:space="preserve">• Die Berechnung entspricht dem Online-Rechner auf abi-rechner.com (gleiche Regeln, gleiche Rundung).</t>
  </si>
  <si>
    <t xml:space="preserve">• Sonderfälle (z. B. Bilingualer Unterricht, Nachprüfungen, Fachwechsel) kann die Tabelle nicht abbilden – frag im Zweifel deine Oberstufenkoordination.</t>
  </si>
  <si>
    <t xml:space="preserve">• Alle Angaben ohne Gewähr. Maßgeblich sind die Oberstufenverordnungen der Länder in der für deinen Jahrgang gültigen Fassung.</t>
  </si>
  <si>
    <t xml:space="preserve">Online-Rechner, Statistiken, BAföG- und Notendurchschnittsrechner: https://www.abi-rechner.com</t>
  </si>
  <si>
    <t xml:space="preserve">Abi-Rechner Thüringen – Abitur 2027</t>
  </si>
  <si>
    <t xml:space="preserve">Hilfswerte (nicht ändern)</t>
  </si>
  <si>
    <t xml:space="preserve">sortA</t>
  </si>
  <si>
    <t xml:space="preserve">cumA</t>
  </si>
  <si>
    <t xml:space="preserve">sortF</t>
  </si>
  <si>
    <t xml:space="preserve">cumF</t>
  </si>
  <si>
    <t xml:space="preserve">Abitur 2027 und später (ThürSchulO) · Stand: September 2026 · abi-rechner.com</t>
  </si>
  <si>
    <t xml:space="preserve">Schnitt Halbjahre (Prognose)</t>
  </si>
  <si>
    <t xml:space="preserve">n</t>
  </si>
  <si>
    <t xml:space="preserve">need_raw</t>
  </si>
  <si>
    <t xml:space="preserve">need</t>
  </si>
  <si>
    <t xml:space="preserve">take</t>
  </si>
  <si>
    <t xml:space="preserve">miss_pool</t>
  </si>
  <si>
    <t xml:space="preserve">virt</t>
  </si>
  <si>
    <t xml:space="preserve">cnt</t>
  </si>
  <si>
    <t xml:space="preserve">eaP</t>
  </si>
  <si>
    <t xml:space="preserve">mandS</t>
  </si>
  <si>
    <t xml:space="preserve">top</t>
  </si>
  <si>
    <t xml:space="preserve">P</t>
  </si>
  <si>
    <t xml:space="preserve">S</t>
  </si>
  <si>
    <t xml:space="preserve">pts</t>
  </si>
  <si>
    <t xml:space="preserve">uk</t>
  </si>
  <si>
    <t xml:space="preserve">ukmax</t>
  </si>
  <si>
    <t xml:space="preserve">gk_uk</t>
  </si>
  <si>
    <t xml:space="preserve">gkP</t>
  </si>
  <si>
    <t xml:space="preserve">c_min</t>
  </si>
  <si>
    <t xml:space="preserve">c_uk</t>
  </si>
  <si>
    <t xml:space="preserve">c_eauk</t>
  </si>
  <si>
    <t xml:space="preserve">c_gkuk</t>
  </si>
  <si>
    <t xml:space="preserve">c_eap</t>
  </si>
  <si>
    <t xml:space="preserve">c_gkp</t>
  </si>
  <si>
    <t xml:space="preserve">c_zero</t>
  </si>
  <si>
    <t xml:space="preserve">c_sp1</t>
  </si>
  <si>
    <t xml:space="preserve">c_sp2</t>
  </si>
  <si>
    <t xml:space="preserve">c_many</t>
  </si>
  <si>
    <t xml:space="preserve">valid</t>
  </si>
  <si>
    <t xml:space="preserve">miss</t>
  </si>
  <si>
    <t xml:space="preserve">score</t>
  </si>
  <si>
    <t xml:space="preserve">Gelbe Felder ausfüllen (Punkte 0–15). Leere Felder = noch offen → Prognose mit deinem Schnitt.</t>
  </si>
  <si>
    <t xml:space="preserve">Schnitt Prüfungen (Prognose)</t>
  </si>
  <si>
    <t xml:space="preserve">Eingaben vorhanden</t>
  </si>
  <si>
    <t xml:space="preserve">Fach</t>
  </si>
  <si>
    <t xml:space="preserve">HJ 1</t>
  </si>
  <si>
    <t xml:space="preserve">HJ 2</t>
  </si>
  <si>
    <t xml:space="preserve">HJ 3</t>
  </si>
  <si>
    <t xml:space="preserve">HJ 4</t>
  </si>
  <si>
    <t xml:space="preserve">mündl. Zusatz-prüfung</t>
  </si>
  <si>
    <t xml:space="preserve">Dein Ergebnis</t>
  </si>
  <si>
    <t xml:space="preserve">Pflicht-Halbjahre</t>
  </si>
  <si>
    <t xml:space="preserve">Pool A</t>
  </si>
  <si>
    <t xml:space="preserve">Pool F</t>
  </si>
  <si>
    <t xml:space="preserve">eingebracht</t>
  </si>
  <si>
    <t xml:space="preserve">A:sum13</t>
  </si>
  <si>
    <t xml:space="preserve">A:sum4</t>
  </si>
  <si>
    <t xml:space="preserve">A:cnt13</t>
  </si>
  <si>
    <t xml:space="preserve">A:cnt4</t>
  </si>
  <si>
    <t xml:space="preserve">A:uk</t>
  </si>
  <si>
    <t xml:space="preserve">A:zero</t>
  </si>
  <si>
    <t xml:space="preserve">A:miss</t>
  </si>
  <si>
    <t xml:space="preserve">A:allsum</t>
  </si>
  <si>
    <t xml:space="preserve">F:sum13</t>
  </si>
  <si>
    <t xml:space="preserve">F:sum4</t>
  </si>
  <si>
    <t xml:space="preserve">F:cnt13</t>
  </si>
  <si>
    <t xml:space="preserve">F:cnt4</t>
  </si>
  <si>
    <t xml:space="preserve">F:uk</t>
  </si>
  <si>
    <t xml:space="preserve">F:zero</t>
  </si>
  <si>
    <t xml:space="preserve">F:miss</t>
  </si>
  <si>
    <t xml:space="preserve">F:allsum</t>
  </si>
  <si>
    <t xml:space="preserve">A:s</t>
  </si>
  <si>
    <t xml:space="preserve">A:w</t>
  </si>
  <si>
    <t xml:space="preserve">A:good</t>
  </si>
  <si>
    <t xml:space="preserve">A:below</t>
  </si>
  <si>
    <t xml:space="preserve">F:s</t>
  </si>
  <si>
    <t xml:space="preserve">F:w</t>
  </si>
  <si>
    <t xml:space="preserve">F:good</t>
  </si>
  <si>
    <t xml:space="preserve">F:below</t>
  </si>
  <si>
    <t xml:space="preserve">1. Prüfungsfach
erhöhtes Niveau, schriftlich</t>
  </si>
  <si>
    <t xml:space="preserve">Abi</t>
  </si>
  <si>
    <t xml:space="preserve">Status</t>
  </si>
  <si>
    <t xml:space="preserve">fehlende Pflicht-Halbjahre</t>
  </si>
  <si>
    <t xml:space="preserve">2. Prüfungsfach
erhöhtes Niveau, schriftlich</t>
  </si>
  <si>
    <t xml:space="preserve">Block I – Qualifikationsphase</t>
  </si>
  <si>
    <t xml:space="preserve">von 600 (mind. 200)</t>
  </si>
  <si>
    <t xml:space="preserve">Pool Anzahl</t>
  </si>
  <si>
    <t xml:space="preserve">3. Prüfungsfach
erhöhtes Niveau, schriftlich</t>
  </si>
  <si>
    <t xml:space="preserve">Block II – Abiturprüfungen</t>
  </si>
  <si>
    <t xml:space="preserve">von 300 (mind. 100)</t>
  </si>
  <si>
    <t xml:space="preserve">Pool &gt;=5</t>
  </si>
  <si>
    <t xml:space="preserve">4. Prüfungsfach
mündlich</t>
  </si>
  <si>
    <t xml:space="preserve">–</t>
  </si>
  <si>
    <t xml:space="preserve">Gesamtpunktzahl</t>
  </si>
  <si>
    <t xml:space="preserve">von 900 (mind. 300)</t>
  </si>
  <si>
    <t xml:space="preserve">UK eA (Pflicht)</t>
  </si>
  <si>
    <t xml:space="preserve">5. Prüfungsfach
mündlich oder Seminarfach</t>
  </si>
  <si>
    <t xml:space="preserve">Abiturnote</t>
  </si>
  <si>
    <t xml:space="preserve">UK GK (Pflicht)</t>
  </si>
  <si>
    <t xml:space="preserve">Weitere Kurse</t>
  </si>
  <si>
    <t xml:space="preserve">Pflicht (x)</t>
  </si>
  <si>
    <t xml:space="preserve">Bis zur nächsten besseren Note</t>
  </si>
  <si>
    <t xml:space="preserve">Summe GK (Pflicht)</t>
  </si>
  <si>
    <t xml:space="preserve">open</t>
  </si>
  <si>
    <t xml:space="preserve">pflicht</t>
  </si>
  <si>
    <t xml:space="preserve">A:sum</t>
  </si>
  <si>
    <t xml:space="preserve">A:cnt</t>
  </si>
  <si>
    <t xml:space="preserve">F:sum</t>
  </si>
  <si>
    <t xml:space="preserve">F:cnt</t>
  </si>
  <si>
    <t xml:space="preserve">Kurs 1</t>
  </si>
  <si>
    <t xml:space="preserve">Puffer bis zur schlechteren Note</t>
  </si>
  <si>
    <t xml:space="preserve">Pflicht-HJ mit 0 Punkten</t>
  </si>
  <si>
    <t xml:space="preserve">Kurs 2</t>
  </si>
  <si>
    <t xml:space="preserve">Eingebrachte Halbjahre</t>
  </si>
  <si>
    <t xml:space="preserve">beste Variante A</t>
  </si>
  <si>
    <t xml:space="preserve">Kurs 3</t>
  </si>
  <si>
    <t xml:space="preserve">Unterkurse (unter 5 Punkten)</t>
  </si>
  <si>
    <t xml:space="preserve">beste Variante F</t>
  </si>
  <si>
    <t xml:space="preserve">Kurs 4</t>
  </si>
  <si>
    <t xml:space="preserve">Hebel: +1 Punkt in einer Prüfung</t>
  </si>
  <si>
    <t xml:space="preserve">Gesamtpunkte</t>
  </si>
  <si>
    <t xml:space="preserve">Faktor Prüfungen</t>
  </si>
  <si>
    <t xml:space="preserve">Kurs 5</t>
  </si>
  <si>
    <t xml:space="preserve">Hebel: +1 Punkt in einem Halbjahr</t>
  </si>
  <si>
    <t xml:space="preserve">Gesamtpunkte (einfach gewertetes HJ)</t>
  </si>
  <si>
    <t xml:space="preserve">Block II A</t>
  </si>
  <si>
    <t xml:space="preserve">Kurs 6</t>
  </si>
  <si>
    <t xml:space="preserve">&gt;=5 Punkte A</t>
  </si>
  <si>
    <t xml:space="preserve">Kurs 7</t>
  </si>
  <si>
    <t xml:space="preserve">Bedingungen für die Zulassung / das Bestehen</t>
  </si>
  <si>
    <t xml:space="preserve">Wert</t>
  </si>
  <si>
    <t xml:space="preserve">&gt;=5 in Pflichtfächern A</t>
  </si>
  <si>
    <t xml:space="preserve">Kurs 8</t>
  </si>
  <si>
    <t xml:space="preserve">Block I mindestens 200 Punkte</t>
  </si>
  <si>
    <t xml:space="preserve">Prüfung 0 A</t>
  </si>
  <si>
    <t xml:space="preserve">Kurs 9</t>
  </si>
  <si>
    <t xml:space="preserve">unter Mindestpunktzahl A</t>
  </si>
  <si>
    <t xml:space="preserve">Kurs 10</t>
  </si>
  <si>
    <t xml:space="preserve">Keine Pflicht-Halbjahre mit 0 Punkten</t>
  </si>
  <si>
    <t xml:space="preserve">Block II F</t>
  </si>
  <si>
    <t xml:space="preserve">Kurs 11</t>
  </si>
  <si>
    <t xml:space="preserve">Nicht mehr Pflichtkurse markiert, als eingebracht werden dürfen</t>
  </si>
  <si>
    <t xml:space="preserve">&gt;=5 Punkte F</t>
  </si>
  <si>
    <t xml:space="preserve">Kurs 12</t>
  </si>
  <si>
    <t xml:space="preserve">Block II mindestens 100 Punkte</t>
  </si>
  <si>
    <t xml:space="preserve">&gt;=5 in Pflichtfächern F</t>
  </si>
  <si>
    <t xml:space="preserve">Kurs 13</t>
  </si>
  <si>
    <t xml:space="preserve">Prüfung 0 F</t>
  </si>
  <si>
    <t xml:space="preserve">Kurs 14</t>
  </si>
  <si>
    <t xml:space="preserve">Gesamtpunktzahl mindestens 300</t>
  </si>
  <si>
    <t xml:space="preserve">unter Mindestpunktzahl F</t>
  </si>
  <si>
    <t xml:space="preserve">nötige Prüfungen &gt;=5</t>
  </si>
  <si>
    <t xml:space="preserve">Legende</t>
  </si>
  <si>
    <t xml:space="preserve">fehlende Prüfungen</t>
  </si>
  <si>
    <t xml:space="preserve">Die Regeln in Thüringen kurz erklärt</t>
  </si>
  <si>
    <t xml:space="preserve">Eingabefeld (Punkte 0–15)</t>
  </si>
  <si>
    <t xml:space="preserve">B2 Bedingung 0 A</t>
  </si>
  <si>
    <t xml:space="preserve">• 36 Halbjahresergebnisse, alle einfach gewertet.</t>
  </si>
  <si>
    <t xml:space="preserve">Halbjahr wird eingebracht</t>
  </si>
  <si>
    <t xml:space="preserve">B2 Bedingung 1 A</t>
  </si>
  <si>
    <t xml:space="preserve">• Block I = Punktsumme / 36 × 40, ab ,5 aufgerundet.</t>
  </si>
  <si>
    <t xml:space="preserve">eingebracht, aber Unterkurs (unter 5 Punkten)</t>
  </si>
  <si>
    <t xml:space="preserve">B2 gültig A</t>
  </si>
  <si>
    <t xml:space="preserve">• Höchstens 7 Ergebnisse unter 5 Punkten; 0 Punkte nicht einbringbar.</t>
  </si>
  <si>
    <t xml:space="preserve">wird nicht eingebracht (Streichergebnis)</t>
  </si>
  <si>
    <t xml:space="preserve">B2 Bedingung 0 F</t>
  </si>
  <si>
    <t xml:space="preserve">• Block II: 5 Prüfungen (3 schriftlich, 2 mündlich), jeweils vierfach.</t>
  </si>
  <si>
    <t xml:space="preserve">B2 Bedingung 1 F</t>
  </si>
  <si>
    <t xml:space="preserve">• Bestehen Block II: mind. 100 Punkte, in 3 Prüfungsfächern mind. 5 Punkte.</t>
  </si>
  <si>
    <t xml:space="preserve">Die Tabelle wählt automatisch die günstigsten Halbjahre aus.</t>
  </si>
  <si>
    <t xml:space="preserve">B2 gültig F</t>
  </si>
  <si>
    <t xml:space="preserve">Blattschutz ohne Passwort: Überprüfen → Blatt schützen aufheben.</t>
  </si>
  <si>
    <t xml:space="preserve">fehlende Eingaben</t>
  </si>
  <si>
    <t xml:space="preserve">Quelle: ThürSchulO §§ 89–92, Anlage 15</t>
  </si>
  <si>
    <t xml:space="preserve">vollständig</t>
  </si>
  <si>
    <t xml:space="preserve">https://landesrecht.thueringen.de/perma?d=jlr-NNLTH0000384E</t>
  </si>
  <si>
    <t xml:space="preserve">m_pts</t>
  </si>
  <si>
    <t xml:space="preserve">m_cnt</t>
  </si>
  <si>
    <t xml:space="preserve">Online-Rechner Thüringen mit Statistik und PDF-Download: https://www.abi-rechner.com/bundeslander/thuringen/</t>
  </si>
  <si>
    <t xml:space="preserve">m_uk</t>
  </si>
  <si>
    <t xml:space="preserve">Alle Angaben ohne Gewähr. Maßgeblich ist die Oberstufenverordnung deines Landes und die Auskunft deiner Schule.</t>
  </si>
  <si>
    <t xml:space="preserve">m_ukmax</t>
  </si>
  <si>
    <t xml:space="preserve">m_gk_uk</t>
  </si>
  <si>
    <t xml:space="preserve">m_eaP</t>
  </si>
  <si>
    <t xml:space="preserve">m_gkP</t>
  </si>
  <si>
    <t xml:space="preserve">m_S</t>
  </si>
  <si>
    <t xml:space="preserve">m_P</t>
  </si>
  <si>
    <t xml:space="preserve">m_take</t>
  </si>
  <si>
    <t xml:space="preserve">m_valid</t>
  </si>
  <si>
    <t xml:space="preserve">m_c_min</t>
  </si>
  <si>
    <t xml:space="preserve">m_c_uk</t>
  </si>
  <si>
    <t xml:space="preserve">m_c_eauk</t>
  </si>
  <si>
    <t xml:space="preserve">m_c_gkuk</t>
  </si>
  <si>
    <t xml:space="preserve">m_c_eap</t>
  </si>
  <si>
    <t xml:space="preserve">m_c_gkp</t>
  </si>
  <si>
    <t xml:space="preserve">m_c_zero</t>
  </si>
  <si>
    <t xml:space="preserve">m_c_sp1</t>
  </si>
  <si>
    <t xml:space="preserve">m_c_sp2</t>
  </si>
  <si>
    <t xml:space="preserve">m_c_many</t>
  </si>
  <si>
    <t xml:space="preserve">m_dset</t>
  </si>
  <si>
    <t xml:space="preserve">m_ea_uk</t>
  </si>
  <si>
    <t xml:space="preserve">m_b2</t>
  </si>
  <si>
    <t xml:space="preserve">m_b2good</t>
  </si>
  <si>
    <t xml:space="preserve">m_b2c0</t>
  </si>
  <si>
    <t xml:space="preserve">m_b2c1</t>
  </si>
  <si>
    <t xml:space="preserve">m_b2valid</t>
  </si>
  <si>
    <t xml:space="preserve">mind. 300</t>
  </si>
  <si>
    <t xml:space="preserve">bestanden</t>
  </si>
  <si>
    <t xml:space="preserve">Note in Zehnteln</t>
  </si>
  <si>
    <t xml:space="preserve">Punkte bis bessere Note</t>
  </si>
  <si>
    <t xml:space="preserve">Puffer</t>
  </si>
  <si>
    <t xml:space="preserve">Punktetabelle: Gesamtpunkte → Abiturnote</t>
  </si>
  <si>
    <t xml:space="preserve">Umrechnung nach KMK-Vereinbarung (Anlage 3): N = 17/3 − P/180, auf eine Nachkommastelle abgeschnitten.</t>
  </si>
  <si>
    <t xml:space="preserve">Punkte von</t>
  </si>
  <si>
    <t xml:space="preserve">Punkte bis</t>
  </si>
  <si>
    <t xml:space="preserve">Notenpunkte</t>
  </si>
  <si>
    <t xml:space="preserve">Note</t>
  </si>
  <si>
    <t xml:space="preserve">Bedeutung</t>
  </si>
  <si>
    <t xml:space="preserve">1+</t>
  </si>
  <si>
    <t xml:space="preserve">sehr gut</t>
  </si>
  <si>
    <t xml:space="preserve">1</t>
  </si>
  <si>
    <t xml:space="preserve">1−</t>
  </si>
  <si>
    <t xml:space="preserve">2+</t>
  </si>
  <si>
    <t xml:space="preserve">gut</t>
  </si>
  <si>
    <t xml:space="preserve">2</t>
  </si>
  <si>
    <t xml:space="preserve">2−</t>
  </si>
  <si>
    <t xml:space="preserve">3+</t>
  </si>
  <si>
    <t xml:space="preserve">befriedigend</t>
  </si>
  <si>
    <t xml:space="preserve">3</t>
  </si>
  <si>
    <t xml:space="preserve">3−</t>
  </si>
  <si>
    <t xml:space="preserve">4+</t>
  </si>
  <si>
    <t xml:space="preserve">ausreichend</t>
  </si>
  <si>
    <t xml:space="preserve">4</t>
  </si>
  <si>
    <t xml:space="preserve">4−</t>
  </si>
  <si>
    <t xml:space="preserve">5+</t>
  </si>
  <si>
    <t xml:space="preserve">mangelhaft</t>
  </si>
  <si>
    <t xml:space="preserve">5−</t>
  </si>
  <si>
    <t xml:space="preserve">6</t>
  </si>
  <si>
    <t xml:space="preserve">ungenügend</t>
  </si>
  <si>
    <t xml:space="preserve">Unter 5 Punkten = Unterkurs / Defizit.</t>
  </si>
  <si>
    <t xml:space="preserve">Unter 300 Punkten ist das Abitur nicht bestanden.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</si>
</sst>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"/>
  </numFmts>
  <fonts count="34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F4E79"/>
      <name val="Arial"/>
      <family val="0"/>
      <charset val="1"/>
    </font>
    <font>
      <sz val="9"/>
      <color rgb="FF595959"/>
      <name val="Arial"/>
      <family val="0"/>
      <charset val="1"/>
    </font>
    <font>
      <b val="true"/>
      <sz val="12"/>
      <color rgb="FF1F4E79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11"/>
      <color rgb="FF1F4E79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9"/>
      <color rgb="FF000000"/>
      <name val="Arial"/>
      <family val="0"/>
      <charset val="1"/>
    </font>
    <font>
      <u val="single"/>
      <sz val="10"/>
      <color rgb="FF0563C1"/>
      <name val="Arial"/>
      <family val="0"/>
      <charset val="1"/>
    </font>
    <font>
      <b val="true"/>
      <u val="single"/>
      <sz val="10"/>
      <color rgb="FF0563C1"/>
      <name val="Arial"/>
      <family val="0"/>
      <charset val="1"/>
    </font>
    <font>
      <b val="true"/>
      <sz val="16"/>
      <color rgb="FF1F4E79"/>
      <name val="Arial"/>
      <family val="0"/>
      <charset val="1"/>
    </font>
    <font>
      <sz val="8"/>
      <color rgb="FF80808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9"/>
      <color rgb="FF000000"/>
      <name val="Arial"/>
      <family val="0"/>
      <charset val="1"/>
    </font>
    <font>
      <sz val="8"/>
      <color rgb="FF7F7F7F"/>
      <name val="Arial"/>
      <family val="0"/>
      <charset val="1"/>
    </font>
    <font>
      <sz val="11"/>
      <color rgb="FF000000"/>
      <name val="Arial"/>
      <family val="0"/>
      <charset val="1"/>
    </font>
    <font>
      <b val="true"/>
      <sz val="11"/>
      <color rgb="FF00000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9"/>
      <color rgb="FFA6A6A6"/>
      <name val="Arial"/>
      <family val="0"/>
      <charset val="1"/>
    </font>
    <font>
      <b val="true"/>
      <sz val="12"/>
      <color rgb="FF000000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C00000"/>
      <name val="Arial"/>
      <family val="0"/>
      <charset val="1"/>
    </font>
    <font>
      <sz val="9"/>
      <color rgb="FF808080"/>
      <name val="Arial"/>
      <family val="0"/>
      <charset val="1"/>
    </font>
    <font>
      <i val="true"/>
      <sz val="8"/>
      <color rgb="FF595959"/>
      <name val="Arial"/>
      <family val="0"/>
      <charset val="1"/>
    </font>
    <font>
      <u val="single"/>
      <sz val="8"/>
      <color rgb="FF0563C1"/>
      <name val="Arial"/>
      <family val="0"/>
      <charset val="1"/>
    </font>
    <font>
      <u val="single"/>
      <sz val="9"/>
      <color rgb="FF0563C1"/>
      <name val="Arial"/>
      <family val="0"/>
      <charset val="1"/>
    </font>
    <font>
      <i val="true"/>
      <sz val="8"/>
      <color rgb="FF7F7F7F"/>
      <name val="Arial"/>
      <family val="0"/>
      <charset val="1"/>
    </font>
    <font>
      <sz val="10"/>
      <name val="Arial"/>
      <family val="2"/>
    </font>
    <font>
      <b val="true"/>
      <sz val="14"/>
      <color rgb="FF1F4E79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F4E79"/>
        <bgColor rgb="FF003366"/>
      </patternFill>
    </fill>
    <fill>
      <patternFill patternType="solid">
        <fgColor rgb="FFFFF2CC"/>
        <bgColor rgb="FFFCE4E4"/>
      </patternFill>
    </fill>
    <fill>
      <patternFill patternType="solid">
        <fgColor rgb="FFEDEDED"/>
        <bgColor rgb="FFE2EFDA"/>
      </patternFill>
    </fill>
    <fill>
      <patternFill patternType="solid">
        <fgColor rgb="FFE2EFDA"/>
        <bgColor rgb="FFEDEDED"/>
      </patternFill>
    </fill>
    <fill>
      <patternFill patternType="solid">
        <fgColor rgb="FFFCE4E4"/>
        <bgColor rgb="FFEDEDE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true" applyProtection="true">
      <alignment horizontal="general" vertical="center" textRotation="0" wrapText="false" indent="0" shrinkToFit="false"/>
      <protection locked="false" hidden="false"/>
    </xf>
    <xf numFmtId="164" fontId="18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9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20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4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3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21" fillId="3" borderId="1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5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7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6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1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ont>
        <name val="Arial"/>
        <charset val="1"/>
        <family val="0"/>
        <b val="1"/>
        <color rgb="FFC00000"/>
      </font>
      <fill>
        <patternFill>
          <bgColor rgb="FFFCE4E4"/>
        </patternFill>
      </fill>
    </dxf>
    <dxf>
      <fill>
        <patternFill>
          <bgColor rgb="FFE2EFDA"/>
        </patternFill>
      </fill>
    </dxf>
    <dxf>
      <font>
        <name val="Arial"/>
        <charset val="1"/>
        <family val="0"/>
        <color rgb="FF808080"/>
      </font>
      <fill>
        <patternFill>
          <bgColor rgb="FFEDEDED"/>
        </patternFill>
      </fill>
    </dxf>
    <dxf>
      <font>
        <name val="Arial"/>
        <charset val="1"/>
        <family val="0"/>
        <b val="1"/>
        <color rgb="FFC00000"/>
      </font>
    </dxf>
    <dxf>
      <font>
        <name val="Arial"/>
        <charset val="1"/>
        <family val="0"/>
        <b val="1"/>
        <color rgb="FF375623"/>
      </font>
      <fill>
        <patternFill>
          <bgColor rgb="FFE2EFDA"/>
        </patternFill>
      </fill>
    </dxf>
    <dxf>
      <font>
        <name val="Arial"/>
        <charset val="1"/>
        <family val="0"/>
        <b val="1"/>
        <color rgb="FFC00000"/>
        <sz val="12"/>
      </font>
    </dxf>
  </dxf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F7F7F"/>
      <rgbColor rgb="FF800080"/>
      <rgbColor rgb="FF008080"/>
      <rgbColor rgb="FFBFBFBF"/>
      <rgbColor rgb="FF808080"/>
      <rgbColor rgb="FF9999FF"/>
      <rgbColor rgb="FF993366"/>
      <rgbColor rgb="FFFFF2CC"/>
      <rgbColor rgb="FFEDEDED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E4"/>
      <rgbColor rgb="FF3366FF"/>
      <rgbColor rgb="FF33CCCC"/>
      <rgbColor rgb="FF99CC00"/>
      <rgbColor rgb="FFFFCC00"/>
      <rgbColor rgb="FFFF9900"/>
      <rgbColor rgb="FFFF6600"/>
      <rgbColor rgb="FF595959"/>
      <rgbColor rgb="FFA6A6A6"/>
      <rgbColor rgb="FF003366"/>
      <rgbColor rgb="FF339966"/>
      <rgbColor rgb="FF003300"/>
      <rgbColor rgb="FF333300"/>
      <rgbColor rgb="FF993300"/>
      <rgbColor rgb="FF993366"/>
      <rgbColor rgb="FF1F4E79"/>
      <rgbColor rgb="FF37562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abi-rechner.com/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hyperlink" Target="https://landesrecht.thueringen.de/perma?d=jlr-NNLTH0000384E" TargetMode="External"/><Relationship Id="rId3" Type="http://schemas.openxmlformats.org/officeDocument/2006/relationships/hyperlink" Target="https://www.abi-rechner.com/bundeslander/thuringen/" TargetMode="External"/><Relationship Id="rId4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E2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34"/>
    <col collapsed="false" customWidth="true" hidden="false" outlineLevel="0" max="4" min="3" style="0" width="16"/>
    <col collapsed="false" customWidth="true" hidden="false" outlineLevel="0" max="5" min="5" style="0" width="60"/>
  </cols>
  <sheetData>
    <row r="1" customFormat="false" ht="22.05" hidden="false" customHeight="false" outlineLevel="0" collapsed="false">
      <c r="B1" s="1" t="s">
        <v>0</v>
      </c>
    </row>
    <row r="2" customFormat="false" ht="15" hidden="false" customHeight="false" outlineLevel="0" collapsed="false">
      <c r="B2" s="2" t="s">
        <v>1</v>
      </c>
    </row>
    <row r="4" customFormat="false" ht="15" hidden="false" customHeight="false" outlineLevel="0" collapsed="false">
      <c r="B4" s="3" t="s">
        <v>2</v>
      </c>
    </row>
    <row r="5" customFormat="false" ht="15" hidden="false" customHeight="false" outlineLevel="0" collapsed="false">
      <c r="B5" s="4" t="s">
        <v>3</v>
      </c>
    </row>
    <row r="6" customFormat="false" ht="15" hidden="false" customHeight="false" outlineLevel="0" collapsed="false">
      <c r="B6" s="4" t="s">
        <v>4</v>
      </c>
    </row>
    <row r="7" customFormat="false" ht="15" hidden="false" customHeight="false" outlineLevel="0" collapsed="false">
      <c r="B7" s="4" t="s">
        <v>5</v>
      </c>
    </row>
    <row r="8" customFormat="false" ht="15" hidden="false" customHeight="false" outlineLevel="0" collapsed="false">
      <c r="B8" s="4" t="s">
        <v>6</v>
      </c>
    </row>
    <row r="9" customFormat="false" ht="15" hidden="false" customHeight="false" outlineLevel="0" collapsed="false">
      <c r="B9" s="4" t="s">
        <v>7</v>
      </c>
    </row>
    <row r="11" customFormat="false" ht="15" hidden="false" customHeight="false" outlineLevel="0" collapsed="false">
      <c r="B11" s="5" t="s">
        <v>8</v>
      </c>
    </row>
    <row r="12" customFormat="false" ht="15" hidden="false" customHeight="false" outlineLevel="0" collapsed="false">
      <c r="B12" s="6" t="s">
        <v>9</v>
      </c>
      <c r="C12" s="6" t="s">
        <v>10</v>
      </c>
      <c r="D12" s="6" t="s">
        <v>11</v>
      </c>
      <c r="E12" s="6" t="s">
        <v>12</v>
      </c>
    </row>
    <row r="13" customFormat="false" ht="15" hidden="false" customHeight="false" outlineLevel="0" collapsed="false">
      <c r="B13" s="7" t="s">
        <v>13</v>
      </c>
      <c r="C13" s="8" t="s">
        <v>14</v>
      </c>
      <c r="D13" s="8" t="s">
        <v>15</v>
      </c>
      <c r="E13" s="7" t="s">
        <v>16</v>
      </c>
    </row>
    <row r="15" customFormat="false" ht="15" hidden="false" customHeight="false" outlineLevel="0" collapsed="false">
      <c r="B15" s="3" t="s">
        <v>17</v>
      </c>
    </row>
    <row r="16" customFormat="false" ht="15" hidden="false" customHeight="false" outlineLevel="0" collapsed="false">
      <c r="B16" s="6" t="s">
        <v>18</v>
      </c>
      <c r="C16" s="6" t="s">
        <v>19</v>
      </c>
      <c r="D16" s="6" t="s">
        <v>20</v>
      </c>
      <c r="E16" s="6" t="s">
        <v>21</v>
      </c>
    </row>
    <row r="17" customFormat="false" ht="15" hidden="false" customHeight="false" outlineLevel="0" collapsed="false">
      <c r="B17" s="9" t="s">
        <v>22</v>
      </c>
      <c r="C17" s="10" t="s">
        <v>23</v>
      </c>
      <c r="D17" s="10" t="s">
        <v>24</v>
      </c>
      <c r="E17" s="11" t="s">
        <v>25</v>
      </c>
    </row>
    <row r="19" customFormat="false" ht="15" hidden="false" customHeight="false" outlineLevel="0" collapsed="false">
      <c r="B19" s="3" t="s">
        <v>26</v>
      </c>
    </row>
    <row r="20" customFormat="false" ht="15" hidden="false" customHeight="false" outlineLevel="0" collapsed="false">
      <c r="B20" s="12" t="s">
        <v>27</v>
      </c>
    </row>
    <row r="21" customFormat="false" ht="15" hidden="false" customHeight="false" outlineLevel="0" collapsed="false">
      <c r="B21" s="12" t="s">
        <v>28</v>
      </c>
    </row>
    <row r="22" customFormat="false" ht="15" hidden="false" customHeight="false" outlineLevel="0" collapsed="false">
      <c r="B22" s="12" t="s">
        <v>29</v>
      </c>
    </row>
    <row r="23" customFormat="false" ht="15" hidden="false" customHeight="false" outlineLevel="0" collapsed="false">
      <c r="B23" s="12" t="s">
        <v>30</v>
      </c>
    </row>
    <row r="24" customFormat="false" ht="15" hidden="false" customHeight="false" outlineLevel="0" collapsed="false">
      <c r="B24" s="12" t="s">
        <v>31</v>
      </c>
    </row>
    <row r="26" customFormat="false" ht="15" hidden="false" customHeight="false" outlineLevel="0" collapsed="false">
      <c r="B26" s="13" t="s">
        <v>32</v>
      </c>
    </row>
  </sheetData>
  <sheetProtection sheet="true" formatColumns="false"/>
  <hyperlinks>
    <hyperlink ref="B17" location="'Thüringen'!A1" display="Thüringen"/>
    <hyperlink ref="B26" r:id="rId1" display="Online-Rechner, Statistiken, BAföG- und Notendurchschnittsrechner: https://www.abi-rechner.com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H6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1"/>
  <cols>
    <col collapsed="false" customWidth="true" hidden="false" outlineLevel="0" max="1" min="1" style="0" width="2"/>
    <col collapsed="false" customWidth="true" hidden="false" outlineLevel="0" max="2" min="2" style="0" width="30"/>
    <col collapsed="false" customWidth="true" hidden="false" outlineLevel="0" max="3" min="3" style="0" width="18"/>
    <col collapsed="false" customWidth="true" hidden="false" outlineLevel="0" max="4" min="4" style="0" width="8"/>
    <col collapsed="false" customWidth="true" hidden="false" outlineLevel="0" max="8" min="5" style="0" width="7"/>
    <col collapsed="false" customWidth="true" hidden="false" outlineLevel="0" max="9" min="9" style="0" width="9"/>
    <col collapsed="false" customWidth="true" hidden="false" outlineLevel="0" max="10" min="10" style="0" width="10"/>
    <col collapsed="false" customWidth="true" hidden="false" outlineLevel="0" max="11" min="11" style="0" width="3"/>
    <col collapsed="false" customWidth="true" hidden="false" outlineLevel="0" max="12" min="12" style="0" width="46"/>
    <col collapsed="false" customWidth="true" hidden="false" outlineLevel="0" max="13" min="13" style="0" width="16"/>
    <col collapsed="false" customWidth="true" hidden="false" outlineLevel="0" max="14" min="14" style="0" width="30"/>
    <col collapsed="false" customWidth="true" hidden="false" outlineLevel="0" max="15" min="15" style="0" width="3"/>
    <col collapsed="false" customWidth="true" hidden="true" outlineLevel="1" max="115" min="20" style="0" width="13"/>
  </cols>
  <sheetData>
    <row r="1" customFormat="false" ht="19.7" hidden="false" customHeight="false" outlineLevel="0" collapsed="false">
      <c r="B1" s="14" t="s">
        <v>33</v>
      </c>
      <c r="T1" s="15" t="s">
        <v>34</v>
      </c>
      <c r="BZ1" s="15" t="s">
        <v>35</v>
      </c>
      <c r="CA1" s="15" t="s">
        <v>36</v>
      </c>
      <c r="CB1" s="15" t="s">
        <v>37</v>
      </c>
      <c r="CC1" s="15" t="s">
        <v>38</v>
      </c>
    </row>
    <row r="2" customFormat="false" ht="15" hidden="false" customHeight="false" outlineLevel="0" collapsed="false">
      <c r="B2" s="2" t="s">
        <v>39</v>
      </c>
      <c r="T2" s="15" t="s">
        <v>40</v>
      </c>
      <c r="U2" s="15" t="n">
        <f aca="false">IFERROR(AVERAGE($E$6:$H$25),7)</f>
        <v>7</v>
      </c>
      <c r="BZ2" s="15" t="n">
        <f aca="false">IFERROR(LARGE($AH$6:$AK$25,1),0)</f>
        <v>0</v>
      </c>
      <c r="CA2" s="15" t="n">
        <f aca="false">BZ2</f>
        <v>0</v>
      </c>
      <c r="CB2" s="15" t="n">
        <f aca="false">IFERROR(LARGE($AM$6:$AP$25,1),0)</f>
        <v>0</v>
      </c>
      <c r="CC2" s="15" t="n">
        <f aca="false">CB2</f>
        <v>0</v>
      </c>
      <c r="CE2" s="15" t="s">
        <v>41</v>
      </c>
      <c r="CF2" s="15" t="s">
        <v>42</v>
      </c>
      <c r="CG2" s="15" t="s">
        <v>43</v>
      </c>
      <c r="CH2" s="15" t="s">
        <v>44</v>
      </c>
      <c r="CI2" s="15" t="s">
        <v>45</v>
      </c>
      <c r="CJ2" s="15" t="s">
        <v>46</v>
      </c>
      <c r="CK2" s="15" t="s">
        <v>47</v>
      </c>
      <c r="CL2" s="15" t="s">
        <v>48</v>
      </c>
      <c r="CM2" s="15" t="s">
        <v>49</v>
      </c>
      <c r="CN2" s="15" t="s">
        <v>50</v>
      </c>
      <c r="CO2" s="15" t="s">
        <v>51</v>
      </c>
      <c r="CP2" s="15" t="s">
        <v>52</v>
      </c>
      <c r="CQ2" s="15" t="s">
        <v>53</v>
      </c>
      <c r="CR2" s="15" t="s">
        <v>54</v>
      </c>
      <c r="CS2" s="15" t="s">
        <v>55</v>
      </c>
      <c r="CT2" s="15" t="s">
        <v>56</v>
      </c>
      <c r="CU2" s="15" t="s">
        <v>57</v>
      </c>
      <c r="CV2" s="15" t="s">
        <v>58</v>
      </c>
      <c r="CW2" s="15" t="s">
        <v>59</v>
      </c>
      <c r="CX2" s="15" t="s">
        <v>60</v>
      </c>
      <c r="CY2" s="15" t="s">
        <v>61</v>
      </c>
      <c r="CZ2" s="15" t="s">
        <v>62</v>
      </c>
      <c r="DA2" s="15" t="s">
        <v>63</v>
      </c>
      <c r="DB2" s="15" t="s">
        <v>64</v>
      </c>
      <c r="DC2" s="15" t="s">
        <v>65</v>
      </c>
      <c r="DD2" s="15" t="s">
        <v>66</v>
      </c>
      <c r="DE2" s="15" t="s">
        <v>67</v>
      </c>
      <c r="DF2" s="15" t="s">
        <v>68</v>
      </c>
      <c r="DG2" s="15" t="s">
        <v>69</v>
      </c>
      <c r="DH2" s="15" t="s">
        <v>70</v>
      </c>
    </row>
    <row r="3" customFormat="false" ht="15" hidden="false" customHeight="false" outlineLevel="0" collapsed="false">
      <c r="B3" s="16" t="s">
        <v>71</v>
      </c>
      <c r="T3" s="15" t="s">
        <v>72</v>
      </c>
      <c r="U3" s="15" t="n">
        <f aca="false">IFERROR(AVERAGE($I$6:$I$10),$U$2)</f>
        <v>7</v>
      </c>
      <c r="BZ3" s="15" t="n">
        <f aca="false">IFERROR(LARGE($AH$6:$AK$25,2),0)</f>
        <v>0</v>
      </c>
      <c r="CA3" s="15" t="n">
        <f aca="false">CA2+BZ3</f>
        <v>0</v>
      </c>
      <c r="CB3" s="15" t="n">
        <f aca="false">IFERROR(LARGE($AM$6:$AP$25,2),0)</f>
        <v>0</v>
      </c>
      <c r="CC3" s="15" t="n">
        <f aca="false">CC2+CB3</f>
        <v>0</v>
      </c>
      <c r="CE3" s="15" t="n">
        <f aca="false">36</f>
        <v>36</v>
      </c>
      <c r="CF3" s="15" t="n">
        <f aca="false">CE3-$U$5-$U$6-0</f>
        <v>16</v>
      </c>
      <c r="CG3" s="15" t="n">
        <f aca="false">MAX(0,CF3)</f>
        <v>16</v>
      </c>
      <c r="CH3" s="15" t="n">
        <f aca="false">MIN(CG3,$U$7)</f>
        <v>0</v>
      </c>
      <c r="CI3" s="15" t="n">
        <f aca="false">CG3-CH3</f>
        <v>16</v>
      </c>
      <c r="CJ3" s="15" t="n">
        <f aca="false">0</f>
        <v>0</v>
      </c>
      <c r="CK3" s="15" t="n">
        <f aca="false">$U$5+CH3+CJ3</f>
        <v>0</v>
      </c>
      <c r="CL3" s="15" t="n">
        <f aca="false">1*AW6+1*AX6+1*AW7+1*AX7+1*AW8+1*AX8</f>
        <v>0</v>
      </c>
      <c r="CM3" s="15" t="n">
        <f aca="false">1*AY6+1*AZ6+1*AY7+1*AZ7+1*AY8+1*AZ8+1*AY9+1*AZ9+1*AY10+1*AZ10+SUM($AA$12:$AA$25)</f>
        <v>0</v>
      </c>
      <c r="CN3" s="15" t="n">
        <f aca="false">IF(CH3=0,0,INDEX($CA$2:$CA$57,CH3))</f>
        <v>0</v>
      </c>
      <c r="CO3" s="15" t="n">
        <f aca="false">CL3+$U$11+CN3+CJ3*$U$2</f>
        <v>0</v>
      </c>
      <c r="CP3" s="15" t="n">
        <f aca="false">CM3+CH3+CJ3</f>
        <v>0</v>
      </c>
      <c r="CQ3" s="15" t="n">
        <f aca="false">IF(CP3&gt;0,MIN(600,INT((CO3/CP3*40)+0.5+0.000000001)),0)</f>
        <v>0</v>
      </c>
      <c r="CR3" s="15" t="n">
        <f aca="false">$U$9+CT3</f>
        <v>0</v>
      </c>
      <c r="CS3" s="15" t="n">
        <f aca="false">7</f>
        <v>7</v>
      </c>
      <c r="CT3" s="15" t="n">
        <f aca="false">$U$10+MAX(0,CH3-$U$8)+CJ3*IF($U$2&lt;5,1,0)</f>
        <v>0</v>
      </c>
      <c r="CU3" s="15" t="n">
        <f aca="false">$U$11+CN3+CJ3*$U$2</f>
        <v>0</v>
      </c>
      <c r="CV3" s="15" t="n">
        <f aca="false">IF(CQ3&gt;=200,1,0)</f>
        <v>0</v>
      </c>
      <c r="CW3" s="15" t="n">
        <f aca="false">IF(CR3&lt;=CS3,1,0)</f>
        <v>1</v>
      </c>
      <c r="CX3" s="15" t="n">
        <f aca="false">1</f>
        <v>1</v>
      </c>
      <c r="CY3" s="15" t="n">
        <f aca="false">1</f>
        <v>1</v>
      </c>
      <c r="CZ3" s="15" t="n">
        <f aca="false">1</f>
        <v>1</v>
      </c>
      <c r="DA3" s="15" t="n">
        <f aca="false">1</f>
        <v>1</v>
      </c>
      <c r="DB3" s="15" t="n">
        <f aca="false">IF($U$12=0,1,0)</f>
        <v>1</v>
      </c>
      <c r="DC3" s="15" t="n">
        <f aca="false">1</f>
        <v>1</v>
      </c>
      <c r="DD3" s="15" t="n">
        <f aca="false">1</f>
        <v>1</v>
      </c>
      <c r="DE3" s="15" t="n">
        <f aca="false">IF(CF3&lt;0,0,1)</f>
        <v>1</v>
      </c>
      <c r="DF3" s="15" t="n">
        <f aca="false">IF(CV3*CW3*CX3*CY3*CZ3*DA3*DB3*DC3*DD3*DE3=1,1,0)</f>
        <v>0</v>
      </c>
      <c r="DG3" s="15" t="n">
        <f aca="false">$U$6+CI3</f>
        <v>36</v>
      </c>
      <c r="DH3" s="15" t="n">
        <f aca="false">DF3*1000000+CQ3*100+(100-CK3)</f>
        <v>100</v>
      </c>
    </row>
    <row r="4" customFormat="false" ht="15" hidden="false" customHeight="false" outlineLevel="0" collapsed="false">
      <c r="T4" s="15" t="s">
        <v>73</v>
      </c>
      <c r="U4" s="15" t="n">
        <f aca="false">IF(COUNT($E$6:$H$25,$I$6:$I$10)&gt;0,1,0)</f>
        <v>0</v>
      </c>
      <c r="BZ4" s="15" t="n">
        <f aca="false">IFERROR(LARGE($AH$6:$AK$25,3),0)</f>
        <v>0</v>
      </c>
      <c r="CA4" s="15" t="n">
        <f aca="false">CA3+BZ4</f>
        <v>0</v>
      </c>
      <c r="CB4" s="15" t="n">
        <f aca="false">IFERROR(LARGE($AM$6:$AP$25,3),0)</f>
        <v>0</v>
      </c>
      <c r="CC4" s="15" t="n">
        <f aca="false">CC3+CB4</f>
        <v>0</v>
      </c>
    </row>
    <row r="5" customFormat="false" ht="30" hidden="false" customHeight="true" outlineLevel="0" collapsed="false">
      <c r="B5" s="17" t="s">
        <v>9</v>
      </c>
      <c r="C5" s="17" t="s">
        <v>74</v>
      </c>
      <c r="D5" s="18"/>
      <c r="E5" s="18" t="s">
        <v>75</v>
      </c>
      <c r="F5" s="18" t="s">
        <v>76</v>
      </c>
      <c r="G5" s="18" t="s">
        <v>77</v>
      </c>
      <c r="H5" s="18" t="s">
        <v>78</v>
      </c>
      <c r="I5" s="18" t="s">
        <v>11</v>
      </c>
      <c r="J5" s="18" t="s">
        <v>79</v>
      </c>
      <c r="L5" s="19" t="s">
        <v>80</v>
      </c>
      <c r="M5" s="20"/>
      <c r="N5" s="20"/>
      <c r="T5" s="15" t="s">
        <v>81</v>
      </c>
      <c r="U5" s="15" t="n">
        <f aca="false">AY6+AY7+AY8+AY9+AY10+AZ6+AZ7+AZ8+AZ9+AZ10+SUM($AA$12:$AA$25)</f>
        <v>0</v>
      </c>
      <c r="V5" s="15" t="n">
        <f aca="false">BG6+BG7+BG8+BG9+BG10+BH6+BH7+BH8+BH9+BH10+SUM($AE$12:$AE$25)</f>
        <v>20</v>
      </c>
      <c r="AH5" s="15" t="s">
        <v>82</v>
      </c>
      <c r="AM5" s="15" t="s">
        <v>83</v>
      </c>
      <c r="AR5" s="15" t="s">
        <v>84</v>
      </c>
      <c r="AW5" s="15" t="s">
        <v>85</v>
      </c>
      <c r="AX5" s="15" t="s">
        <v>86</v>
      </c>
      <c r="AY5" s="15" t="s">
        <v>87</v>
      </c>
      <c r="AZ5" s="15" t="s">
        <v>88</v>
      </c>
      <c r="BA5" s="15" t="s">
        <v>89</v>
      </c>
      <c r="BB5" s="15" t="s">
        <v>90</v>
      </c>
      <c r="BC5" s="15" t="s">
        <v>91</v>
      </c>
      <c r="BD5" s="15" t="s">
        <v>92</v>
      </c>
      <c r="BE5" s="15" t="s">
        <v>93</v>
      </c>
      <c r="BF5" s="15" t="s">
        <v>94</v>
      </c>
      <c r="BG5" s="15" t="s">
        <v>95</v>
      </c>
      <c r="BH5" s="15" t="s">
        <v>96</v>
      </c>
      <c r="BI5" s="15" t="s">
        <v>97</v>
      </c>
      <c r="BJ5" s="15" t="s">
        <v>98</v>
      </c>
      <c r="BK5" s="15" t="s">
        <v>99</v>
      </c>
      <c r="BL5" s="15" t="s">
        <v>100</v>
      </c>
      <c r="BN5" s="15" t="s">
        <v>101</v>
      </c>
      <c r="BO5" s="15" t="s">
        <v>102</v>
      </c>
      <c r="BP5" s="15" t="s">
        <v>103</v>
      </c>
      <c r="BQ5" s="15" t="s">
        <v>90</v>
      </c>
      <c r="BR5" s="15" t="s">
        <v>104</v>
      </c>
      <c r="BT5" s="15" t="s">
        <v>105</v>
      </c>
      <c r="BU5" s="15" t="s">
        <v>106</v>
      </c>
      <c r="BV5" s="15" t="s">
        <v>107</v>
      </c>
      <c r="BW5" s="15" t="s">
        <v>98</v>
      </c>
      <c r="BX5" s="15" t="s">
        <v>108</v>
      </c>
      <c r="BZ5" s="15" t="n">
        <f aca="false">IFERROR(LARGE($AH$6:$AK$25,4),0)</f>
        <v>0</v>
      </c>
      <c r="CA5" s="15" t="n">
        <f aca="false">CA4+BZ5</f>
        <v>0</v>
      </c>
      <c r="CB5" s="15" t="n">
        <f aca="false">IFERROR(LARGE($AM$6:$AP$25,4),0)</f>
        <v>0</v>
      </c>
      <c r="CC5" s="15" t="n">
        <f aca="false">CC4+CB5</f>
        <v>0</v>
      </c>
    </row>
    <row r="6" customFormat="false" ht="39.75" hidden="false" customHeight="true" outlineLevel="0" collapsed="false">
      <c r="B6" s="21" t="s">
        <v>109</v>
      </c>
      <c r="C6" s="22"/>
      <c r="D6" s="23" t="s">
        <v>110</v>
      </c>
      <c r="E6" s="24"/>
      <c r="F6" s="24"/>
      <c r="G6" s="24"/>
      <c r="H6" s="24"/>
      <c r="I6" s="25"/>
      <c r="J6" s="24"/>
      <c r="L6" s="26" t="s">
        <v>111</v>
      </c>
      <c r="M6" s="27" t="str">
        <f aca="false">IF($U$4=0,"Noch keine Eingaben – trag deine Punkte in die gelben Felder ein.",IF($U$35=1,"Endergebnis (alle Felder ausgefüllt)","Prognose: "&amp;$U$34&amp;" Felder offen, gefüllt mit deinem Schnitt von "&amp;FIXED($U$2,1)&amp;" Punkten"))</f>
        <v>Noch keine Eingaben – trag deine Punkte in die gelben Felder ein.</v>
      </c>
      <c r="N6" s="27"/>
      <c r="T6" s="15" t="s">
        <v>112</v>
      </c>
      <c r="U6" s="15" t="n">
        <f aca="false">BC6+BC7+BC8+BC9+BC10</f>
        <v>20</v>
      </c>
      <c r="V6" s="15" t="n">
        <f aca="false">0</f>
        <v>0</v>
      </c>
      <c r="AR6" s="15" t="n">
        <f aca="false">IF(ISNUMBER(E6),1,0)</f>
        <v>0</v>
      </c>
      <c r="AS6" s="15" t="n">
        <f aca="false">IF(ISNUMBER(F6),1,0)</f>
        <v>0</v>
      </c>
      <c r="AT6" s="15" t="n">
        <f aca="false">IF(ISNUMBER(G6),1,0)</f>
        <v>0</v>
      </c>
      <c r="AU6" s="15" t="n">
        <f aca="false">IF(ISNUMBER(H6),1,0)</f>
        <v>0</v>
      </c>
      <c r="AW6" s="15" t="n">
        <f aca="false">SUM(E6:G6)</f>
        <v>0</v>
      </c>
      <c r="AX6" s="15" t="n">
        <f aca="false">SUM(H6:H6)</f>
        <v>0</v>
      </c>
      <c r="AY6" s="15" t="n">
        <f aca="false">COUNT(E6:G6)</f>
        <v>0</v>
      </c>
      <c r="AZ6" s="15" t="n">
        <f aca="false">COUNT(H6:H6)</f>
        <v>0</v>
      </c>
      <c r="BA6" s="15" t="n">
        <f aca="false">COUNTIF(E6:H6,"&lt;5")</f>
        <v>0</v>
      </c>
      <c r="BB6" s="15" t="n">
        <f aca="false">COUNTIF(E6:H6,0)</f>
        <v>0</v>
      </c>
      <c r="BC6" s="15" t="n">
        <f aca="false">4-COUNT(E6:H6)</f>
        <v>4</v>
      </c>
      <c r="BD6" s="15" t="n">
        <f aca="false">SUM(E6:H6)</f>
        <v>0</v>
      </c>
      <c r="BE6" s="15" t="n">
        <f aca="false">SUM(E6:G6)+$U$2*(3-COUNT(E6:G6))</f>
        <v>21</v>
      </c>
      <c r="BF6" s="15" t="n">
        <f aca="false">SUM(H6:H6)+$U$2*(1-COUNT(H6:H6))</f>
        <v>7</v>
      </c>
      <c r="BG6" s="15" t="n">
        <f aca="false">3</f>
        <v>3</v>
      </c>
      <c r="BH6" s="15" t="n">
        <f aca="false">1</f>
        <v>1</v>
      </c>
      <c r="BI6" s="15" t="n">
        <f aca="false">COUNTIF(E6:H6,"&lt;5")+IF($U$2&lt;5,1,0)*(4-COUNT(E6:H6))</f>
        <v>0</v>
      </c>
      <c r="BJ6" s="15" t="n">
        <f aca="false">COUNTIF(E6:H6,0)</f>
        <v>0</v>
      </c>
      <c r="BK6" s="15" t="n">
        <f aca="false">0</f>
        <v>0</v>
      </c>
      <c r="BL6" s="15" t="n">
        <f aca="false">SUM(E6:H6)+$U$2*(4-COUNT(E6:H6))</f>
        <v>28</v>
      </c>
      <c r="BN6" s="15" t="str">
        <f aca="false">IF(ISNUMBER($I$6),$I$6,"")</f>
        <v/>
      </c>
      <c r="BO6" s="15" t="str">
        <f aca="false">IF(BN6="","",IF(ISNUMBER($J$6),INT(((2*BN6+$J$6)/3*$U$15)+0.5+0.000000001),BN6*$U$15))</f>
        <v/>
      </c>
      <c r="BP6" s="15" t="n">
        <f aca="false">IF(BO6="",0,IF(BO6&gt;=5*$U$15-0.000000001,1,0))</f>
        <v>0</v>
      </c>
      <c r="BQ6" s="15" t="n">
        <f aca="false">IF(BO6="",0,IF(BO6&lt;0.000000001,1,0))</f>
        <v>0</v>
      </c>
      <c r="BR6" s="15" t="n">
        <f aca="false">0</f>
        <v>0</v>
      </c>
      <c r="BT6" s="15" t="n">
        <f aca="false">IF(ISNUMBER($I$6),$I$6,$U$3)</f>
        <v>7</v>
      </c>
      <c r="BU6" s="15" t="n">
        <f aca="false">IF(BT6="","",IF(ISNUMBER($J$6),INT(((2*BT6+$J$6)/3*$U$15)+0.5+0.000000001),BT6*$U$15))</f>
        <v>28</v>
      </c>
      <c r="BV6" s="15" t="n">
        <f aca="false">IF(BU6="",0,IF(BU6&gt;=5*$U$15-0.000000001,1,0))</f>
        <v>1</v>
      </c>
      <c r="BW6" s="15" t="n">
        <f aca="false">IF(BU6="",0,IF(BU6&lt;0.000000001,1,0))</f>
        <v>0</v>
      </c>
      <c r="BX6" s="15" t="n">
        <f aca="false">0</f>
        <v>0</v>
      </c>
      <c r="BZ6" s="15" t="n">
        <f aca="false">IFERROR(LARGE($AH$6:$AK$25,5),0)</f>
        <v>0</v>
      </c>
      <c r="CA6" s="15" t="n">
        <f aca="false">CA5+BZ6</f>
        <v>0</v>
      </c>
      <c r="CB6" s="15" t="n">
        <f aca="false">IFERROR(LARGE($AM$6:$AP$25,5),0)</f>
        <v>0</v>
      </c>
      <c r="CC6" s="15" t="n">
        <f aca="false">CC5+CB6</f>
        <v>0</v>
      </c>
    </row>
    <row r="7" customFormat="false" ht="37.5" hidden="false" customHeight="true" outlineLevel="0" collapsed="false">
      <c r="B7" s="21" t="s">
        <v>113</v>
      </c>
      <c r="C7" s="22"/>
      <c r="D7" s="23" t="s">
        <v>110</v>
      </c>
      <c r="E7" s="24"/>
      <c r="F7" s="24"/>
      <c r="G7" s="24"/>
      <c r="H7" s="24"/>
      <c r="I7" s="25"/>
      <c r="J7" s="24"/>
      <c r="L7" s="26" t="s">
        <v>114</v>
      </c>
      <c r="M7" s="28" t="str">
        <f aca="false">IF($U$4=0,"",$U$36)</f>
        <v/>
      </c>
      <c r="N7" s="29" t="s">
        <v>115</v>
      </c>
      <c r="T7" s="15" t="s">
        <v>116</v>
      </c>
      <c r="U7" s="15" t="n">
        <f aca="false">COUNT($AH$6:$AK$25)</f>
        <v>0</v>
      </c>
      <c r="V7" s="15" t="n">
        <f aca="false">COUNT($AM$6:$AP$25)</f>
        <v>0</v>
      </c>
      <c r="AR7" s="15" t="n">
        <f aca="false">IF(ISNUMBER(E7),1,0)</f>
        <v>0</v>
      </c>
      <c r="AS7" s="15" t="n">
        <f aca="false">IF(ISNUMBER(F7),1,0)</f>
        <v>0</v>
      </c>
      <c r="AT7" s="15" t="n">
        <f aca="false">IF(ISNUMBER(G7),1,0)</f>
        <v>0</v>
      </c>
      <c r="AU7" s="15" t="n">
        <f aca="false">IF(ISNUMBER(H7),1,0)</f>
        <v>0</v>
      </c>
      <c r="AW7" s="15" t="n">
        <f aca="false">SUM(E7:G7)</f>
        <v>0</v>
      </c>
      <c r="AX7" s="15" t="n">
        <f aca="false">SUM(H7:H7)</f>
        <v>0</v>
      </c>
      <c r="AY7" s="15" t="n">
        <f aca="false">COUNT(E7:G7)</f>
        <v>0</v>
      </c>
      <c r="AZ7" s="15" t="n">
        <f aca="false">COUNT(H7:H7)</f>
        <v>0</v>
      </c>
      <c r="BA7" s="15" t="n">
        <f aca="false">COUNTIF(E7:H7,"&lt;5")</f>
        <v>0</v>
      </c>
      <c r="BB7" s="15" t="n">
        <f aca="false">COUNTIF(E7:H7,0)</f>
        <v>0</v>
      </c>
      <c r="BC7" s="15" t="n">
        <f aca="false">4-COUNT(E7:H7)</f>
        <v>4</v>
      </c>
      <c r="BD7" s="15" t="n">
        <f aca="false">SUM(E7:H7)</f>
        <v>0</v>
      </c>
      <c r="BE7" s="15" t="n">
        <f aca="false">SUM(E7:G7)+$U$2*(3-COUNT(E7:G7))</f>
        <v>21</v>
      </c>
      <c r="BF7" s="15" t="n">
        <f aca="false">SUM(H7:H7)+$U$2*(1-COUNT(H7:H7))</f>
        <v>7</v>
      </c>
      <c r="BG7" s="15" t="n">
        <f aca="false">3</f>
        <v>3</v>
      </c>
      <c r="BH7" s="15" t="n">
        <f aca="false">1</f>
        <v>1</v>
      </c>
      <c r="BI7" s="15" t="n">
        <f aca="false">COUNTIF(E7:H7,"&lt;5")+IF($U$2&lt;5,1,0)*(4-COUNT(E7:H7))</f>
        <v>0</v>
      </c>
      <c r="BJ7" s="15" t="n">
        <f aca="false">COUNTIF(E7:H7,0)</f>
        <v>0</v>
      </c>
      <c r="BK7" s="15" t="n">
        <f aca="false">0</f>
        <v>0</v>
      </c>
      <c r="BL7" s="15" t="n">
        <f aca="false">SUM(E7:H7)+$U$2*(4-COUNT(E7:H7))</f>
        <v>28</v>
      </c>
      <c r="BN7" s="15" t="str">
        <f aca="false">IF(ISNUMBER($I$7),$I$7,"")</f>
        <v/>
      </c>
      <c r="BO7" s="15" t="str">
        <f aca="false">IF(BN7="","",IF(ISNUMBER($J$7),INT(((2*BN7+$J$7)/3*$U$15)+0.5+0.000000001),BN7*$U$15))</f>
        <v/>
      </c>
      <c r="BP7" s="15" t="n">
        <f aca="false">IF(BO7="",0,IF(BO7&gt;=5*$U$15-0.000000001,1,0))</f>
        <v>0</v>
      </c>
      <c r="BQ7" s="15" t="n">
        <f aca="false">IF(BO7="",0,IF(BO7&lt;0.000000001,1,0))</f>
        <v>0</v>
      </c>
      <c r="BR7" s="15" t="n">
        <f aca="false">0</f>
        <v>0</v>
      </c>
      <c r="BT7" s="15" t="n">
        <f aca="false">IF(ISNUMBER($I$7),$I$7,$U$3)</f>
        <v>7</v>
      </c>
      <c r="BU7" s="15" t="n">
        <f aca="false">IF(BT7="","",IF(ISNUMBER($J$7),INT(((2*BT7+$J$7)/3*$U$15)+0.5+0.000000001),BT7*$U$15))</f>
        <v>28</v>
      </c>
      <c r="BV7" s="15" t="n">
        <f aca="false">IF(BU7="",0,IF(BU7&gt;=5*$U$15-0.000000001,1,0))</f>
        <v>1</v>
      </c>
      <c r="BW7" s="15" t="n">
        <f aca="false">IF(BU7="",0,IF(BU7&lt;0.000000001,1,0))</f>
        <v>0</v>
      </c>
      <c r="BX7" s="15" t="n">
        <f aca="false">0</f>
        <v>0</v>
      </c>
      <c r="BZ7" s="15" t="n">
        <f aca="false">IFERROR(LARGE($AH$6:$AK$25,6),0)</f>
        <v>0</v>
      </c>
      <c r="CA7" s="15" t="n">
        <f aca="false">CA6+BZ7</f>
        <v>0</v>
      </c>
      <c r="CB7" s="15" t="n">
        <f aca="false">IFERROR(LARGE($AM$6:$AP$25,6),0)</f>
        <v>0</v>
      </c>
      <c r="CC7" s="15" t="n">
        <f aca="false">CC6+CB7</f>
        <v>0</v>
      </c>
    </row>
    <row r="8" customFormat="false" ht="37.5" hidden="false" customHeight="true" outlineLevel="0" collapsed="false">
      <c r="B8" s="21" t="s">
        <v>117</v>
      </c>
      <c r="C8" s="22"/>
      <c r="D8" s="23" t="s">
        <v>110</v>
      </c>
      <c r="E8" s="24"/>
      <c r="F8" s="24"/>
      <c r="G8" s="24"/>
      <c r="H8" s="24"/>
      <c r="I8" s="25"/>
      <c r="J8" s="24"/>
      <c r="L8" s="26" t="s">
        <v>118</v>
      </c>
      <c r="M8" s="28" t="str">
        <f aca="false">IF($U$4=0,"",$U$59)</f>
        <v/>
      </c>
      <c r="N8" s="29" t="s">
        <v>119</v>
      </c>
      <c r="T8" s="15" t="s">
        <v>120</v>
      </c>
      <c r="U8" s="15" t="n">
        <f aca="false">COUNTIF($AH$6:$AK$25,"&gt;=5")</f>
        <v>0</v>
      </c>
      <c r="V8" s="15" t="n">
        <f aca="false">COUNTIF($AM$6:$AP$25,"&gt;=5")</f>
        <v>0</v>
      </c>
      <c r="AR8" s="15" t="n">
        <f aca="false">IF(ISNUMBER(E8),1,0)</f>
        <v>0</v>
      </c>
      <c r="AS8" s="15" t="n">
        <f aca="false">IF(ISNUMBER(F8),1,0)</f>
        <v>0</v>
      </c>
      <c r="AT8" s="15" t="n">
        <f aca="false">IF(ISNUMBER(G8),1,0)</f>
        <v>0</v>
      </c>
      <c r="AU8" s="15" t="n">
        <f aca="false">IF(ISNUMBER(H8),1,0)</f>
        <v>0</v>
      </c>
      <c r="AW8" s="15" t="n">
        <f aca="false">SUM(E8:G8)</f>
        <v>0</v>
      </c>
      <c r="AX8" s="15" t="n">
        <f aca="false">SUM(H8:H8)</f>
        <v>0</v>
      </c>
      <c r="AY8" s="15" t="n">
        <f aca="false">COUNT(E8:G8)</f>
        <v>0</v>
      </c>
      <c r="AZ8" s="15" t="n">
        <f aca="false">COUNT(H8:H8)</f>
        <v>0</v>
      </c>
      <c r="BA8" s="15" t="n">
        <f aca="false">COUNTIF(E8:H8,"&lt;5")</f>
        <v>0</v>
      </c>
      <c r="BB8" s="15" t="n">
        <f aca="false">COUNTIF(E8:H8,0)</f>
        <v>0</v>
      </c>
      <c r="BC8" s="15" t="n">
        <f aca="false">4-COUNT(E8:H8)</f>
        <v>4</v>
      </c>
      <c r="BD8" s="15" t="n">
        <f aca="false">SUM(E8:H8)</f>
        <v>0</v>
      </c>
      <c r="BE8" s="15" t="n">
        <f aca="false">SUM(E8:G8)+$U$2*(3-COUNT(E8:G8))</f>
        <v>21</v>
      </c>
      <c r="BF8" s="15" t="n">
        <f aca="false">SUM(H8:H8)+$U$2*(1-COUNT(H8:H8))</f>
        <v>7</v>
      </c>
      <c r="BG8" s="15" t="n">
        <f aca="false">3</f>
        <v>3</v>
      </c>
      <c r="BH8" s="15" t="n">
        <f aca="false">1</f>
        <v>1</v>
      </c>
      <c r="BI8" s="15" t="n">
        <f aca="false">COUNTIF(E8:H8,"&lt;5")+IF($U$2&lt;5,1,0)*(4-COUNT(E8:H8))</f>
        <v>0</v>
      </c>
      <c r="BJ8" s="15" t="n">
        <f aca="false">COUNTIF(E8:H8,0)</f>
        <v>0</v>
      </c>
      <c r="BK8" s="15" t="n">
        <f aca="false">0</f>
        <v>0</v>
      </c>
      <c r="BL8" s="15" t="n">
        <f aca="false">SUM(E8:H8)+$U$2*(4-COUNT(E8:H8))</f>
        <v>28</v>
      </c>
      <c r="BN8" s="15" t="str">
        <f aca="false">IF(ISNUMBER($I$8),$I$8,"")</f>
        <v/>
      </c>
      <c r="BO8" s="15" t="str">
        <f aca="false">IF(BN8="","",IF(ISNUMBER($J$8),INT(((2*BN8+$J$8)/3*$U$15)+0.5+0.000000001),BN8*$U$15))</f>
        <v/>
      </c>
      <c r="BP8" s="15" t="n">
        <f aca="false">IF(BO8="",0,IF(BO8&gt;=5*$U$15-0.000000001,1,0))</f>
        <v>0</v>
      </c>
      <c r="BQ8" s="15" t="n">
        <f aca="false">IF(BO8="",0,IF(BO8&lt;0.000000001,1,0))</f>
        <v>0</v>
      </c>
      <c r="BR8" s="15" t="n">
        <f aca="false">0</f>
        <v>0</v>
      </c>
      <c r="BT8" s="15" t="n">
        <f aca="false">IF(ISNUMBER($I$8),$I$8,$U$3)</f>
        <v>7</v>
      </c>
      <c r="BU8" s="15" t="n">
        <f aca="false">IF(BT8="","",IF(ISNUMBER($J$8),INT(((2*BT8+$J$8)/3*$U$15)+0.5+0.000000001),BT8*$U$15))</f>
        <v>28</v>
      </c>
      <c r="BV8" s="15" t="n">
        <f aca="false">IF(BU8="",0,IF(BU8&gt;=5*$U$15-0.000000001,1,0))</f>
        <v>1</v>
      </c>
      <c r="BW8" s="15" t="n">
        <f aca="false">IF(BU8="",0,IF(BU8&lt;0.000000001,1,0))</f>
        <v>0</v>
      </c>
      <c r="BX8" s="15" t="n">
        <f aca="false">0</f>
        <v>0</v>
      </c>
      <c r="BZ8" s="15" t="n">
        <f aca="false">IFERROR(LARGE($AH$6:$AK$25,7),0)</f>
        <v>0</v>
      </c>
      <c r="CA8" s="15" t="n">
        <f aca="false">CA7+BZ8</f>
        <v>0</v>
      </c>
      <c r="CB8" s="15" t="n">
        <f aca="false">IFERROR(LARGE($AM$6:$AP$25,7),0)</f>
        <v>0</v>
      </c>
      <c r="CC8" s="15" t="n">
        <f aca="false">CC7+CB8</f>
        <v>0</v>
      </c>
    </row>
    <row r="9" customFormat="false" ht="37.5" hidden="false" customHeight="true" outlineLevel="0" collapsed="false">
      <c r="B9" s="21" t="s">
        <v>121</v>
      </c>
      <c r="C9" s="22"/>
      <c r="D9" s="23" t="s">
        <v>110</v>
      </c>
      <c r="E9" s="24"/>
      <c r="F9" s="24"/>
      <c r="G9" s="24"/>
      <c r="H9" s="24"/>
      <c r="I9" s="25"/>
      <c r="J9" s="30" t="s">
        <v>122</v>
      </c>
      <c r="L9" s="31" t="s">
        <v>123</v>
      </c>
      <c r="M9" s="32" t="str">
        <f aca="false">IF($U$4=0,"",$U$64)</f>
        <v/>
      </c>
      <c r="N9" s="29" t="s">
        <v>124</v>
      </c>
      <c r="T9" s="15" t="s">
        <v>125</v>
      </c>
      <c r="U9" s="15" t="n">
        <f aca="false">BA6+BA7+BA8</f>
        <v>0</v>
      </c>
      <c r="V9" s="15" t="n">
        <f aca="false">BI6+BI7+BI8</f>
        <v>0</v>
      </c>
      <c r="AR9" s="15" t="n">
        <f aca="false">IF(ISNUMBER(E9),1,0)</f>
        <v>0</v>
      </c>
      <c r="AS9" s="15" t="n">
        <f aca="false">IF(ISNUMBER(F9),1,0)</f>
        <v>0</v>
      </c>
      <c r="AT9" s="15" t="n">
        <f aca="false">IF(ISNUMBER(G9),1,0)</f>
        <v>0</v>
      </c>
      <c r="AU9" s="15" t="n">
        <f aca="false">IF(ISNUMBER(H9),1,0)</f>
        <v>0</v>
      </c>
      <c r="AW9" s="15" t="n">
        <f aca="false">SUM(E9:G9)</f>
        <v>0</v>
      </c>
      <c r="AX9" s="15" t="n">
        <f aca="false">SUM(H9:H9)</f>
        <v>0</v>
      </c>
      <c r="AY9" s="15" t="n">
        <f aca="false">COUNT(E9:G9)</f>
        <v>0</v>
      </c>
      <c r="AZ9" s="15" t="n">
        <f aca="false">COUNT(H9:H9)</f>
        <v>0</v>
      </c>
      <c r="BA9" s="15" t="n">
        <f aca="false">COUNTIF(E9:H9,"&lt;5")</f>
        <v>0</v>
      </c>
      <c r="BB9" s="15" t="n">
        <f aca="false">COUNTIF(E9:H9,0)</f>
        <v>0</v>
      </c>
      <c r="BC9" s="15" t="n">
        <f aca="false">4-COUNT(E9:H9)</f>
        <v>4</v>
      </c>
      <c r="BD9" s="15" t="n">
        <f aca="false">SUM(E9:H9)</f>
        <v>0</v>
      </c>
      <c r="BE9" s="15" t="n">
        <f aca="false">SUM(E9:G9)+$U$2*(3-COUNT(E9:G9))</f>
        <v>21</v>
      </c>
      <c r="BF9" s="15" t="n">
        <f aca="false">SUM(H9:H9)+$U$2*(1-COUNT(H9:H9))</f>
        <v>7</v>
      </c>
      <c r="BG9" s="15" t="n">
        <f aca="false">3</f>
        <v>3</v>
      </c>
      <c r="BH9" s="15" t="n">
        <f aca="false">1</f>
        <v>1</v>
      </c>
      <c r="BI9" s="15" t="n">
        <f aca="false">COUNTIF(E9:H9,"&lt;5")+IF($U$2&lt;5,1,0)*(4-COUNT(E9:H9))</f>
        <v>0</v>
      </c>
      <c r="BJ9" s="15" t="n">
        <f aca="false">COUNTIF(E9:H9,0)</f>
        <v>0</v>
      </c>
      <c r="BK9" s="15" t="n">
        <f aca="false">0</f>
        <v>0</v>
      </c>
      <c r="BL9" s="15" t="n">
        <f aca="false">SUM(E9:H9)+$U$2*(4-COUNT(E9:H9))</f>
        <v>28</v>
      </c>
      <c r="BN9" s="15" t="str">
        <f aca="false">IF(ISNUMBER($I$9),$I$9,"")</f>
        <v/>
      </c>
      <c r="BO9" s="15" t="str">
        <f aca="false">IF(BN9="","",BN9*$U$15)</f>
        <v/>
      </c>
      <c r="BP9" s="15" t="n">
        <f aca="false">IF(BO9="",0,IF(BO9&gt;=5*$U$15-0.000000001,1,0))</f>
        <v>0</v>
      </c>
      <c r="BQ9" s="15" t="n">
        <f aca="false">IF(BO9="",0,IF(BO9&lt;0.000000001,1,0))</f>
        <v>0</v>
      </c>
      <c r="BR9" s="15" t="n">
        <f aca="false">0</f>
        <v>0</v>
      </c>
      <c r="BT9" s="15" t="n">
        <f aca="false">IF(ISNUMBER($I$9),$I$9,$U$3)</f>
        <v>7</v>
      </c>
      <c r="BU9" s="15" t="n">
        <f aca="false">IF(BT9="","",BT9*$U$15)</f>
        <v>28</v>
      </c>
      <c r="BV9" s="15" t="n">
        <f aca="false">IF(BU9="",0,IF(BU9&gt;=5*$U$15-0.000000001,1,0))</f>
        <v>1</v>
      </c>
      <c r="BW9" s="15" t="n">
        <f aca="false">IF(BU9="",0,IF(BU9&lt;0.000000001,1,0))</f>
        <v>0</v>
      </c>
      <c r="BX9" s="15" t="n">
        <f aca="false">0</f>
        <v>0</v>
      </c>
      <c r="BZ9" s="15" t="n">
        <f aca="false">IFERROR(LARGE($AH$6:$AK$25,8),0)</f>
        <v>0</v>
      </c>
      <c r="CA9" s="15" t="n">
        <f aca="false">CA8+BZ9</f>
        <v>0</v>
      </c>
      <c r="CB9" s="15" t="n">
        <f aca="false">IFERROR(LARGE($AM$6:$AP$25,8),0)</f>
        <v>0</v>
      </c>
      <c r="CC9" s="15" t="n">
        <f aca="false">CC8+CB9</f>
        <v>0</v>
      </c>
    </row>
    <row r="10" customFormat="false" ht="27.75" hidden="false" customHeight="true" outlineLevel="0" collapsed="false">
      <c r="B10" s="21" t="s">
        <v>126</v>
      </c>
      <c r="C10" s="22"/>
      <c r="D10" s="23" t="s">
        <v>110</v>
      </c>
      <c r="E10" s="24"/>
      <c r="F10" s="24"/>
      <c r="G10" s="24"/>
      <c r="H10" s="24"/>
      <c r="I10" s="25"/>
      <c r="J10" s="30" t="s">
        <v>122</v>
      </c>
      <c r="L10" s="31" t="s">
        <v>127</v>
      </c>
      <c r="M10" s="33" t="str">
        <f aca="false">IF($U$4=0,"",IF($U$66=1,$U$67/10,"nicht bestanden"))</f>
        <v/>
      </c>
      <c r="N10" s="29"/>
      <c r="T10" s="15" t="s">
        <v>128</v>
      </c>
      <c r="U10" s="15" t="n">
        <f aca="false">BA9+BA10+SUM($AB$12:$AB$25)</f>
        <v>0</v>
      </c>
      <c r="V10" s="15" t="n">
        <f aca="false">BI9+BI10+SUM($AF$12:$AF$25)</f>
        <v>0</v>
      </c>
      <c r="AR10" s="15" t="n">
        <f aca="false">IF(ISNUMBER(E10),1,0)</f>
        <v>0</v>
      </c>
      <c r="AS10" s="15" t="n">
        <f aca="false">IF(ISNUMBER(F10),1,0)</f>
        <v>0</v>
      </c>
      <c r="AT10" s="15" t="n">
        <f aca="false">IF(ISNUMBER(G10),1,0)</f>
        <v>0</v>
      </c>
      <c r="AU10" s="15" t="n">
        <f aca="false">IF(ISNUMBER(H10),1,0)</f>
        <v>0</v>
      </c>
      <c r="AW10" s="15" t="n">
        <f aca="false">SUM(E10:G10)</f>
        <v>0</v>
      </c>
      <c r="AX10" s="15" t="n">
        <f aca="false">SUM(H10:H10)</f>
        <v>0</v>
      </c>
      <c r="AY10" s="15" t="n">
        <f aca="false">COUNT(E10:G10)</f>
        <v>0</v>
      </c>
      <c r="AZ10" s="15" t="n">
        <f aca="false">COUNT(H10:H10)</f>
        <v>0</v>
      </c>
      <c r="BA10" s="15" t="n">
        <f aca="false">COUNTIF(E10:H10,"&lt;5")</f>
        <v>0</v>
      </c>
      <c r="BB10" s="15" t="n">
        <f aca="false">COUNTIF(E10:H10,0)</f>
        <v>0</v>
      </c>
      <c r="BC10" s="15" t="n">
        <f aca="false">4-COUNT(E10:H10)</f>
        <v>4</v>
      </c>
      <c r="BD10" s="15" t="n">
        <f aca="false">SUM(E10:H10)</f>
        <v>0</v>
      </c>
      <c r="BE10" s="15" t="n">
        <f aca="false">SUM(E10:G10)+$U$2*(3-COUNT(E10:G10))</f>
        <v>21</v>
      </c>
      <c r="BF10" s="15" t="n">
        <f aca="false">SUM(H10:H10)+$U$2*(1-COUNT(H10:H10))</f>
        <v>7</v>
      </c>
      <c r="BG10" s="15" t="n">
        <f aca="false">3</f>
        <v>3</v>
      </c>
      <c r="BH10" s="15" t="n">
        <f aca="false">1</f>
        <v>1</v>
      </c>
      <c r="BI10" s="15" t="n">
        <f aca="false">COUNTIF(E10:H10,"&lt;5")+IF($U$2&lt;5,1,0)*(4-COUNT(E10:H10))</f>
        <v>0</v>
      </c>
      <c r="BJ10" s="15" t="n">
        <f aca="false">COUNTIF(E10:H10,0)</f>
        <v>0</v>
      </c>
      <c r="BK10" s="15" t="n">
        <f aca="false">0</f>
        <v>0</v>
      </c>
      <c r="BL10" s="15" t="n">
        <f aca="false">SUM(E10:H10)+$U$2*(4-COUNT(E10:H10))</f>
        <v>28</v>
      </c>
      <c r="BN10" s="15" t="str">
        <f aca="false">IF(ISNUMBER($I$10),$I$10,"")</f>
        <v/>
      </c>
      <c r="BO10" s="15" t="str">
        <f aca="false">IF(BN10="","",BN10*$U$15)</f>
        <v/>
      </c>
      <c r="BP10" s="15" t="n">
        <f aca="false">IF(BO10="",0,IF(BO10&gt;=5*$U$15-0.000000001,1,0))</f>
        <v>0</v>
      </c>
      <c r="BQ10" s="15" t="n">
        <f aca="false">IF(BO10="",0,IF(BO10&lt;0.000000001,1,0))</f>
        <v>0</v>
      </c>
      <c r="BR10" s="15" t="n">
        <f aca="false">0</f>
        <v>0</v>
      </c>
      <c r="BT10" s="15" t="n">
        <f aca="false">IF(ISNUMBER($I$10),$I$10,$U$3)</f>
        <v>7</v>
      </c>
      <c r="BU10" s="15" t="n">
        <f aca="false">IF(BT10="","",BT10*$U$15)</f>
        <v>28</v>
      </c>
      <c r="BV10" s="15" t="n">
        <f aca="false">IF(BU10="",0,IF(BU10&gt;=5*$U$15-0.000000001,1,0))</f>
        <v>1</v>
      </c>
      <c r="BW10" s="15" t="n">
        <f aca="false">IF(BU10="",0,IF(BU10&lt;0.000000001,1,0))</f>
        <v>0</v>
      </c>
      <c r="BX10" s="15" t="n">
        <f aca="false">0</f>
        <v>0</v>
      </c>
      <c r="BZ10" s="15" t="n">
        <f aca="false">IFERROR(LARGE($AH$6:$AK$25,9),0)</f>
        <v>0</v>
      </c>
      <c r="CA10" s="15" t="n">
        <f aca="false">CA9+BZ10</f>
        <v>0</v>
      </c>
      <c r="CB10" s="15" t="n">
        <f aca="false">IFERROR(LARGE($AM$6:$AP$25,9),0)</f>
        <v>0</v>
      </c>
      <c r="CC10" s="15" t="n">
        <f aca="false">CC9+CB10</f>
        <v>0</v>
      </c>
    </row>
    <row r="11" customFormat="false" ht="15" hidden="false" customHeight="false" outlineLevel="0" collapsed="false">
      <c r="B11" s="6" t="s">
        <v>129</v>
      </c>
      <c r="C11" s="6" t="s">
        <v>74</v>
      </c>
      <c r="D11" s="34" t="s">
        <v>130</v>
      </c>
      <c r="E11" s="35" t="s">
        <v>75</v>
      </c>
      <c r="F11" s="35" t="s">
        <v>76</v>
      </c>
      <c r="G11" s="35" t="s">
        <v>77</v>
      </c>
      <c r="H11" s="35" t="s">
        <v>78</v>
      </c>
      <c r="I11" s="20"/>
      <c r="J11" s="20"/>
      <c r="L11" s="26" t="s">
        <v>131</v>
      </c>
      <c r="M11" s="28" t="str">
        <f aca="false">IF($U$4=0,"",IF($U$68="","–",$U$68))</f>
        <v/>
      </c>
      <c r="N11" s="29" t="str">
        <f aca="false">IF($U$4=0,"",IF($U$67="","Punkte bis 300",IF($U$68="","Bestnote erreicht","Punkte → "&amp;FIXED(($U$67-1)/10,1))))</f>
        <v/>
      </c>
      <c r="T11" s="15" t="s">
        <v>132</v>
      </c>
      <c r="U11" s="15" t="n">
        <f aca="false">AW9+AW10+AX9+AX10+SUM($Z$12:$Z$25)</f>
        <v>0</v>
      </c>
      <c r="V11" s="15" t="n">
        <f aca="false">BE9+BE10+BF9+BF10+SUM($AD$12:$AD$25)</f>
        <v>56</v>
      </c>
      <c r="X11" s="15" t="s">
        <v>133</v>
      </c>
      <c r="Y11" s="15" t="s">
        <v>134</v>
      </c>
      <c r="Z11" s="15" t="s">
        <v>135</v>
      </c>
      <c r="AA11" s="15" t="s">
        <v>136</v>
      </c>
      <c r="AB11" s="15" t="s">
        <v>89</v>
      </c>
      <c r="AC11" s="15" t="s">
        <v>90</v>
      </c>
      <c r="AD11" s="15" t="s">
        <v>137</v>
      </c>
      <c r="AE11" s="15" t="s">
        <v>138</v>
      </c>
      <c r="AF11" s="15" t="s">
        <v>97</v>
      </c>
      <c r="BZ11" s="15" t="n">
        <f aca="false">IFERROR(LARGE($AH$6:$AK$25,10),0)</f>
        <v>0</v>
      </c>
      <c r="CA11" s="15" t="n">
        <f aca="false">CA10+BZ11</f>
        <v>0</v>
      </c>
      <c r="CB11" s="15" t="n">
        <f aca="false">IFERROR(LARGE($AM$6:$AP$25,10),0)</f>
        <v>0</v>
      </c>
      <c r="CC11" s="15" t="n">
        <f aca="false">CC10+CB11</f>
        <v>0</v>
      </c>
    </row>
    <row r="12" customFormat="false" ht="15" hidden="false" customHeight="false" outlineLevel="0" collapsed="false">
      <c r="B12" s="36" t="s">
        <v>139</v>
      </c>
      <c r="C12" s="37"/>
      <c r="D12" s="38"/>
      <c r="E12" s="24"/>
      <c r="F12" s="24"/>
      <c r="G12" s="24"/>
      <c r="H12" s="24"/>
      <c r="I12" s="39"/>
      <c r="J12" s="39"/>
      <c r="L12" s="26" t="s">
        <v>140</v>
      </c>
      <c r="M12" s="28" t="str">
        <f aca="false">IF(OR($U$4=0,$U$69=""),"",$U$69)</f>
        <v/>
      </c>
      <c r="N12" s="29" t="str">
        <f aca="false">IF(OR($U$4=0,$U$69=""),"","Punkte Luft")</f>
        <v/>
      </c>
      <c r="T12" s="15" t="s">
        <v>141</v>
      </c>
      <c r="U12" s="15" t="n">
        <f aca="false">BB6+BB7+BB8+BB9+BB10+SUM($AC$12:$AC$25)</f>
        <v>0</v>
      </c>
      <c r="X12" s="15" t="n">
        <f aca="false">IF(OR(LEN(TRIM(C12))&gt;0,COUNT(E12:H12)&gt;0),1,0)</f>
        <v>0</v>
      </c>
      <c r="Y12" s="15" t="n">
        <f aca="false">IF(LEN(TRIM(D12))&gt;0,1,0)</f>
        <v>0</v>
      </c>
      <c r="Z12" s="15" t="n">
        <f aca="false">Y12*SUM(E12:H12)</f>
        <v>0</v>
      </c>
      <c r="AA12" s="15" t="n">
        <f aca="false">Y12*COUNT(E12:H12)</f>
        <v>0</v>
      </c>
      <c r="AB12" s="15" t="n">
        <f aca="false">Y12*COUNTIF(E12:H12,"&lt;5")</f>
        <v>0</v>
      </c>
      <c r="AC12" s="15" t="n">
        <f aca="false">Y12*COUNTIF(E12:H12,0)</f>
        <v>0</v>
      </c>
      <c r="AD12" s="15" t="n">
        <f aca="false">Y12*(SUM(E12:H12)+X12*$U$2*(4-COUNT(E12:H12)))</f>
        <v>0</v>
      </c>
      <c r="AE12" s="15" t="n">
        <f aca="false">Y12*(COUNT(E12:H12)+X12*(4-COUNT(E12:H12)))</f>
        <v>0</v>
      </c>
      <c r="AF12" s="15" t="n">
        <f aca="false">Y12*(COUNTIF(E12:H12,"&lt;5")+X12*IF($U$2&lt;5,1,0)*(4-COUNT(E12:H12)))</f>
        <v>0</v>
      </c>
      <c r="AH12" s="15" t="str">
        <f aca="false">IF(Y12=1,"",IF(ISNUMBER(E12),IF(E12=0,"",E12),""))</f>
        <v/>
      </c>
      <c r="AI12" s="15" t="str">
        <f aca="false">IF(Y12=1,"",IF(ISNUMBER(F12),IF(F12=0,"",F12),""))</f>
        <v/>
      </c>
      <c r="AJ12" s="15" t="str">
        <f aca="false">IF(Y12=1,"",IF(ISNUMBER(G12),IF(G12=0,"",G12),""))</f>
        <v/>
      </c>
      <c r="AK12" s="15" t="str">
        <f aca="false">IF(Y12=1,"",IF(ISNUMBER(H12),IF(H12=0,"",H12),""))</f>
        <v/>
      </c>
      <c r="AM12" s="15" t="str">
        <f aca="false">IF(Y12=1,"",IF(ISNUMBER(E12),IF(E12=0,"",E12),IF(X12=1,$U$2,"")))</f>
        <v/>
      </c>
      <c r="AN12" s="15" t="str">
        <f aca="false">IF(Y12=1,"",IF(ISNUMBER(F12),IF(F12=0,"",F12),IF(X12=1,$U$2,"")))</f>
        <v/>
      </c>
      <c r="AO12" s="15" t="str">
        <f aca="false">IF(Y12=1,"",IF(ISNUMBER(G12),IF(G12=0,"",G12),IF(X12=1,$U$2,"")))</f>
        <v/>
      </c>
      <c r="AP12" s="15" t="str">
        <f aca="false">IF(Y12=1,"",IF(ISNUMBER(H12),IF(H12=0,"",H12),IF(X12=1,$U$2,"")))</f>
        <v/>
      </c>
      <c r="AR12" s="15" t="n">
        <f aca="false">IF(Y12=1,IF(ISNUMBER(E12),1,0),IF(AH12="",0,IF(IF($U$35=1,COUNTIF($AH$6:$AK$25,"&gt;"&amp;AH12),COUNTIF($AM$6:$AP$25,"&gt;"&amp;AH12))+COUNTIF($AH$6:$AK$11,AH12)+1&lt;=$U$45,1,0)))</f>
        <v>0</v>
      </c>
      <c r="AS12" s="15" t="n">
        <f aca="false">IF(Y12=1,IF(ISNUMBER(F12),1,0),IF(AI12="",0,IF(IF($U$35=1,COUNTIF($AH$6:$AK$25,"&gt;"&amp;AI12),COUNTIF($AM$6:$AP$25,"&gt;"&amp;AI12))+COUNTIF($AH$6:$AK$11,AI12)+COUNTIF($AH12:AH12,AI12)+1&lt;=$U$45,1,0)))</f>
        <v>0</v>
      </c>
      <c r="AT12" s="15" t="n">
        <f aca="false">IF(Y12=1,IF(ISNUMBER(G12),1,0),IF(AJ12="",0,IF(IF($U$35=1,COUNTIF($AH$6:$AK$25,"&gt;"&amp;AJ12),COUNTIF($AM$6:$AP$25,"&gt;"&amp;AJ12))+COUNTIF($AH$6:$AK$11,AJ12)+COUNTIF($AH12:AI12,AJ12)+1&lt;=$U$45,1,0)))</f>
        <v>0</v>
      </c>
      <c r="AU12" s="15" t="n">
        <f aca="false">IF(Y12=1,IF(ISNUMBER(H12),1,0),IF(AK12="",0,IF(IF($U$35=1,COUNTIF($AH$6:$AK$25,"&gt;"&amp;AK12),COUNTIF($AM$6:$AP$25,"&gt;"&amp;AK12))+COUNTIF($AH$6:$AK$11,AK12)+COUNTIF($AH12:AJ12,AK12)+1&lt;=$U$45,1,0)))</f>
        <v>0</v>
      </c>
      <c r="BZ12" s="15" t="n">
        <f aca="false">IFERROR(LARGE($AH$6:$AK$25,11),0)</f>
        <v>0</v>
      </c>
      <c r="CA12" s="15" t="n">
        <f aca="false">CA11+BZ12</f>
        <v>0</v>
      </c>
      <c r="CB12" s="15" t="n">
        <f aca="false">IFERROR(LARGE($AM$6:$AP$25,11),0)</f>
        <v>0</v>
      </c>
      <c r="CC12" s="15" t="n">
        <f aca="false">CC11+CB12</f>
        <v>0</v>
      </c>
    </row>
    <row r="13" customFormat="false" ht="15" hidden="false" customHeight="false" outlineLevel="0" collapsed="false">
      <c r="B13" s="36" t="s">
        <v>142</v>
      </c>
      <c r="C13" s="37"/>
      <c r="D13" s="38"/>
      <c r="E13" s="24"/>
      <c r="F13" s="24"/>
      <c r="G13" s="24"/>
      <c r="H13" s="24"/>
      <c r="I13" s="39"/>
      <c r="J13" s="39"/>
      <c r="L13" s="26" t="s">
        <v>143</v>
      </c>
      <c r="M13" s="28" t="str">
        <f aca="false">IF($U$4=0,"",$U$37)</f>
        <v/>
      </c>
      <c r="N13" s="29" t="str">
        <f aca="false">IF($U$4=0,"","Formel: "&amp;FIXED($U$44,1)&amp;" / "&amp;$U$43&amp;" × 40")</f>
        <v/>
      </c>
      <c r="T13" s="15" t="s">
        <v>144</v>
      </c>
      <c r="U13" s="15" t="n">
        <f aca="false">MATCH(MAX($DH$3:$DH$3),$DH$3:$DH$3,0)</f>
        <v>1</v>
      </c>
      <c r="X13" s="15" t="n">
        <f aca="false">IF(OR(LEN(TRIM(C13))&gt;0,COUNT(E13:H13)&gt;0),1,0)</f>
        <v>0</v>
      </c>
      <c r="Y13" s="15" t="n">
        <f aca="false">IF(LEN(TRIM(D13))&gt;0,1,0)</f>
        <v>0</v>
      </c>
      <c r="Z13" s="15" t="n">
        <f aca="false">Y13*SUM(E13:H13)</f>
        <v>0</v>
      </c>
      <c r="AA13" s="15" t="n">
        <f aca="false">Y13*COUNT(E13:H13)</f>
        <v>0</v>
      </c>
      <c r="AB13" s="15" t="n">
        <f aca="false">Y13*COUNTIF(E13:H13,"&lt;5")</f>
        <v>0</v>
      </c>
      <c r="AC13" s="15" t="n">
        <f aca="false">Y13*COUNTIF(E13:H13,0)</f>
        <v>0</v>
      </c>
      <c r="AD13" s="15" t="n">
        <f aca="false">Y13*(SUM(E13:H13)+X13*$U$2*(4-COUNT(E13:H13)))</f>
        <v>0</v>
      </c>
      <c r="AE13" s="15" t="n">
        <f aca="false">Y13*(COUNT(E13:H13)+X13*(4-COUNT(E13:H13)))</f>
        <v>0</v>
      </c>
      <c r="AF13" s="15" t="n">
        <f aca="false">Y13*(COUNTIF(E13:H13,"&lt;5")+X13*IF($U$2&lt;5,1,0)*(4-COUNT(E13:H13)))</f>
        <v>0</v>
      </c>
      <c r="AH13" s="15" t="str">
        <f aca="false">IF(Y13=1,"",IF(ISNUMBER(E13),IF(E13=0,"",E13),""))</f>
        <v/>
      </c>
      <c r="AI13" s="15" t="str">
        <f aca="false">IF(Y13=1,"",IF(ISNUMBER(F13),IF(F13=0,"",F13),""))</f>
        <v/>
      </c>
      <c r="AJ13" s="15" t="str">
        <f aca="false">IF(Y13=1,"",IF(ISNUMBER(G13),IF(G13=0,"",G13),""))</f>
        <v/>
      </c>
      <c r="AK13" s="15" t="str">
        <f aca="false">IF(Y13=1,"",IF(ISNUMBER(H13),IF(H13=0,"",H13),""))</f>
        <v/>
      </c>
      <c r="AM13" s="15" t="str">
        <f aca="false">IF(Y13=1,"",IF(ISNUMBER(E13),IF(E13=0,"",E13),IF(X13=1,$U$2,"")))</f>
        <v/>
      </c>
      <c r="AN13" s="15" t="str">
        <f aca="false">IF(Y13=1,"",IF(ISNUMBER(F13),IF(F13=0,"",F13),IF(X13=1,$U$2,"")))</f>
        <v/>
      </c>
      <c r="AO13" s="15" t="str">
        <f aca="false">IF(Y13=1,"",IF(ISNUMBER(G13),IF(G13=0,"",G13),IF(X13=1,$U$2,"")))</f>
        <v/>
      </c>
      <c r="AP13" s="15" t="str">
        <f aca="false">IF(Y13=1,"",IF(ISNUMBER(H13),IF(H13=0,"",H13),IF(X13=1,$U$2,"")))</f>
        <v/>
      </c>
      <c r="AR13" s="15" t="n">
        <f aca="false">IF(Y13=1,IF(ISNUMBER(E13),1,0),IF(AH13="",0,IF(IF($U$35=1,COUNTIF($AH$6:$AK$25,"&gt;"&amp;AH13),COUNTIF($AM$6:$AP$25,"&gt;"&amp;AH13))+COUNTIF($AH$6:$AK$12,AH13)+1&lt;=$U$45,1,0)))</f>
        <v>0</v>
      </c>
      <c r="AS13" s="15" t="n">
        <f aca="false">IF(Y13=1,IF(ISNUMBER(F13),1,0),IF(AI13="",0,IF(IF($U$35=1,COUNTIF($AH$6:$AK$25,"&gt;"&amp;AI13),COUNTIF($AM$6:$AP$25,"&gt;"&amp;AI13))+COUNTIF($AH$6:$AK$12,AI13)+COUNTIF($AH13:AH13,AI13)+1&lt;=$U$45,1,0)))</f>
        <v>0</v>
      </c>
      <c r="AT13" s="15" t="n">
        <f aca="false">IF(Y13=1,IF(ISNUMBER(G13),1,0),IF(AJ13="",0,IF(IF($U$35=1,COUNTIF($AH$6:$AK$25,"&gt;"&amp;AJ13),COUNTIF($AM$6:$AP$25,"&gt;"&amp;AJ13))+COUNTIF($AH$6:$AK$12,AJ13)+COUNTIF($AH13:AI13,AJ13)+1&lt;=$U$45,1,0)))</f>
        <v>0</v>
      </c>
      <c r="AU13" s="15" t="n">
        <f aca="false">IF(Y13=1,IF(ISNUMBER(H13),1,0),IF(AK13="",0,IF(IF($U$35=1,COUNTIF($AH$6:$AK$25,"&gt;"&amp;AK13),COUNTIF($AM$6:$AP$25,"&gt;"&amp;AK13))+COUNTIF($AH$6:$AK$12,AK13)+COUNTIF($AH13:AJ13,AK13)+1&lt;=$U$45,1,0)))</f>
        <v>0</v>
      </c>
      <c r="BZ13" s="15" t="n">
        <f aca="false">IFERROR(LARGE($AH$6:$AK$25,12),0)</f>
        <v>0</v>
      </c>
      <c r="CA13" s="15" t="n">
        <f aca="false">CA12+BZ13</f>
        <v>0</v>
      </c>
      <c r="CB13" s="15" t="n">
        <f aca="false">IFERROR(LARGE($AM$6:$AP$25,12),0)</f>
        <v>0</v>
      </c>
      <c r="CC13" s="15" t="n">
        <f aca="false">CC12+CB13</f>
        <v>0</v>
      </c>
    </row>
    <row r="14" customFormat="false" ht="15" hidden="false" customHeight="false" outlineLevel="0" collapsed="false">
      <c r="B14" s="36" t="s">
        <v>145</v>
      </c>
      <c r="C14" s="37"/>
      <c r="D14" s="38"/>
      <c r="E14" s="24"/>
      <c r="F14" s="24"/>
      <c r="G14" s="24"/>
      <c r="H14" s="24"/>
      <c r="I14" s="39"/>
      <c r="J14" s="39"/>
      <c r="L14" s="26" t="s">
        <v>146</v>
      </c>
      <c r="M14" s="28" t="str">
        <f aca="false">IF($U$4=0,"",$U$38)</f>
        <v/>
      </c>
      <c r="N14" s="29" t="str">
        <f aca="false">IF($U$4=0,"","erlaubt: höchstens "&amp;$U$39)</f>
        <v/>
      </c>
      <c r="T14" s="15" t="s">
        <v>147</v>
      </c>
      <c r="U14" s="15" t="n">
        <f aca="false">MATCH(MAX($DH$23:$DH$23),$DH$23:$DH$23,0)</f>
        <v>1</v>
      </c>
      <c r="X14" s="15" t="n">
        <f aca="false">IF(OR(LEN(TRIM(C14))&gt;0,COUNT(E14:H14)&gt;0),1,0)</f>
        <v>0</v>
      </c>
      <c r="Y14" s="15" t="n">
        <f aca="false">IF(LEN(TRIM(D14))&gt;0,1,0)</f>
        <v>0</v>
      </c>
      <c r="Z14" s="15" t="n">
        <f aca="false">Y14*SUM(E14:H14)</f>
        <v>0</v>
      </c>
      <c r="AA14" s="15" t="n">
        <f aca="false">Y14*COUNT(E14:H14)</f>
        <v>0</v>
      </c>
      <c r="AB14" s="15" t="n">
        <f aca="false">Y14*COUNTIF(E14:H14,"&lt;5")</f>
        <v>0</v>
      </c>
      <c r="AC14" s="15" t="n">
        <f aca="false">Y14*COUNTIF(E14:H14,0)</f>
        <v>0</v>
      </c>
      <c r="AD14" s="15" t="n">
        <f aca="false">Y14*(SUM(E14:H14)+X14*$U$2*(4-COUNT(E14:H14)))</f>
        <v>0</v>
      </c>
      <c r="AE14" s="15" t="n">
        <f aca="false">Y14*(COUNT(E14:H14)+X14*(4-COUNT(E14:H14)))</f>
        <v>0</v>
      </c>
      <c r="AF14" s="15" t="n">
        <f aca="false">Y14*(COUNTIF(E14:H14,"&lt;5")+X14*IF($U$2&lt;5,1,0)*(4-COUNT(E14:H14)))</f>
        <v>0</v>
      </c>
      <c r="AH14" s="15" t="str">
        <f aca="false">IF(Y14=1,"",IF(ISNUMBER(E14),IF(E14=0,"",E14),""))</f>
        <v/>
      </c>
      <c r="AI14" s="15" t="str">
        <f aca="false">IF(Y14=1,"",IF(ISNUMBER(F14),IF(F14=0,"",F14),""))</f>
        <v/>
      </c>
      <c r="AJ14" s="15" t="str">
        <f aca="false">IF(Y14=1,"",IF(ISNUMBER(G14),IF(G14=0,"",G14),""))</f>
        <v/>
      </c>
      <c r="AK14" s="15" t="str">
        <f aca="false">IF(Y14=1,"",IF(ISNUMBER(H14),IF(H14=0,"",H14),""))</f>
        <v/>
      </c>
      <c r="AM14" s="15" t="str">
        <f aca="false">IF(Y14=1,"",IF(ISNUMBER(E14),IF(E14=0,"",E14),IF(X14=1,$U$2,"")))</f>
        <v/>
      </c>
      <c r="AN14" s="15" t="str">
        <f aca="false">IF(Y14=1,"",IF(ISNUMBER(F14),IF(F14=0,"",F14),IF(X14=1,$U$2,"")))</f>
        <v/>
      </c>
      <c r="AO14" s="15" t="str">
        <f aca="false">IF(Y14=1,"",IF(ISNUMBER(G14),IF(G14=0,"",G14),IF(X14=1,$U$2,"")))</f>
        <v/>
      </c>
      <c r="AP14" s="15" t="str">
        <f aca="false">IF(Y14=1,"",IF(ISNUMBER(H14),IF(H14=0,"",H14),IF(X14=1,$U$2,"")))</f>
        <v/>
      </c>
      <c r="AR14" s="15" t="n">
        <f aca="false">IF(Y14=1,IF(ISNUMBER(E14),1,0),IF(AH14="",0,IF(IF($U$35=1,COUNTIF($AH$6:$AK$25,"&gt;"&amp;AH14),COUNTIF($AM$6:$AP$25,"&gt;"&amp;AH14))+COUNTIF($AH$6:$AK$13,AH14)+1&lt;=$U$45,1,0)))</f>
        <v>0</v>
      </c>
      <c r="AS14" s="15" t="n">
        <f aca="false">IF(Y14=1,IF(ISNUMBER(F14),1,0),IF(AI14="",0,IF(IF($U$35=1,COUNTIF($AH$6:$AK$25,"&gt;"&amp;AI14),COUNTIF($AM$6:$AP$25,"&gt;"&amp;AI14))+COUNTIF($AH$6:$AK$13,AI14)+COUNTIF($AH14:AH14,AI14)+1&lt;=$U$45,1,0)))</f>
        <v>0</v>
      </c>
      <c r="AT14" s="15" t="n">
        <f aca="false">IF(Y14=1,IF(ISNUMBER(G14),1,0),IF(AJ14="",0,IF(IF($U$35=1,COUNTIF($AH$6:$AK$25,"&gt;"&amp;AJ14),COUNTIF($AM$6:$AP$25,"&gt;"&amp;AJ14))+COUNTIF($AH$6:$AK$13,AJ14)+COUNTIF($AH14:AI14,AJ14)+1&lt;=$U$45,1,0)))</f>
        <v>0</v>
      </c>
      <c r="AU14" s="15" t="n">
        <f aca="false">IF(Y14=1,IF(ISNUMBER(H14),1,0),IF(AK14="",0,IF(IF($U$35=1,COUNTIF($AH$6:$AK$25,"&gt;"&amp;AK14),COUNTIF($AM$6:$AP$25,"&gt;"&amp;AK14))+COUNTIF($AH$6:$AK$13,AK14)+COUNTIF($AH14:AJ14,AK14)+1&lt;=$U$45,1,0)))</f>
        <v>0</v>
      </c>
      <c r="BZ14" s="15" t="n">
        <f aca="false">IFERROR(LARGE($AH$6:$AK$25,13),0)</f>
        <v>0</v>
      </c>
      <c r="CA14" s="15" t="n">
        <f aca="false">CA13+BZ14</f>
        <v>0</v>
      </c>
      <c r="CB14" s="15" t="n">
        <f aca="false">IFERROR(LARGE($AM$6:$AP$25,13),0)</f>
        <v>0</v>
      </c>
      <c r="CC14" s="15" t="n">
        <f aca="false">CC13+CB14</f>
        <v>0</v>
      </c>
    </row>
    <row r="15" customFormat="false" ht="15" hidden="false" customHeight="false" outlineLevel="0" collapsed="false">
      <c r="B15" s="36" t="s">
        <v>148</v>
      </c>
      <c r="C15" s="37"/>
      <c r="D15" s="38"/>
      <c r="E15" s="24"/>
      <c r="F15" s="24"/>
      <c r="G15" s="24"/>
      <c r="H15" s="24"/>
      <c r="I15" s="39"/>
      <c r="J15" s="39"/>
      <c r="L15" s="26" t="s">
        <v>149</v>
      </c>
      <c r="M15" s="28" t="str">
        <f aca="false">IF($U$4=0,"","+"&amp;$U$15)</f>
        <v/>
      </c>
      <c r="N15" s="29" t="s">
        <v>150</v>
      </c>
      <c r="T15" s="15" t="s">
        <v>151</v>
      </c>
      <c r="U15" s="15" t="n">
        <f aca="false">4</f>
        <v>4</v>
      </c>
      <c r="X15" s="15" t="n">
        <f aca="false">IF(OR(LEN(TRIM(C15))&gt;0,COUNT(E15:H15)&gt;0),1,0)</f>
        <v>0</v>
      </c>
      <c r="Y15" s="15" t="n">
        <f aca="false">IF(LEN(TRIM(D15))&gt;0,1,0)</f>
        <v>0</v>
      </c>
      <c r="Z15" s="15" t="n">
        <f aca="false">Y15*SUM(E15:H15)</f>
        <v>0</v>
      </c>
      <c r="AA15" s="15" t="n">
        <f aca="false">Y15*COUNT(E15:H15)</f>
        <v>0</v>
      </c>
      <c r="AB15" s="15" t="n">
        <f aca="false">Y15*COUNTIF(E15:H15,"&lt;5")</f>
        <v>0</v>
      </c>
      <c r="AC15" s="15" t="n">
        <f aca="false">Y15*COUNTIF(E15:H15,0)</f>
        <v>0</v>
      </c>
      <c r="AD15" s="15" t="n">
        <f aca="false">Y15*(SUM(E15:H15)+X15*$U$2*(4-COUNT(E15:H15)))</f>
        <v>0</v>
      </c>
      <c r="AE15" s="15" t="n">
        <f aca="false">Y15*(COUNT(E15:H15)+X15*(4-COUNT(E15:H15)))</f>
        <v>0</v>
      </c>
      <c r="AF15" s="15" t="n">
        <f aca="false">Y15*(COUNTIF(E15:H15,"&lt;5")+X15*IF($U$2&lt;5,1,0)*(4-COUNT(E15:H15)))</f>
        <v>0</v>
      </c>
      <c r="AH15" s="15" t="str">
        <f aca="false">IF(Y15=1,"",IF(ISNUMBER(E15),IF(E15=0,"",E15),""))</f>
        <v/>
      </c>
      <c r="AI15" s="15" t="str">
        <f aca="false">IF(Y15=1,"",IF(ISNUMBER(F15),IF(F15=0,"",F15),""))</f>
        <v/>
      </c>
      <c r="AJ15" s="15" t="str">
        <f aca="false">IF(Y15=1,"",IF(ISNUMBER(G15),IF(G15=0,"",G15),""))</f>
        <v/>
      </c>
      <c r="AK15" s="15" t="str">
        <f aca="false">IF(Y15=1,"",IF(ISNUMBER(H15),IF(H15=0,"",H15),""))</f>
        <v/>
      </c>
      <c r="AM15" s="15" t="str">
        <f aca="false">IF(Y15=1,"",IF(ISNUMBER(E15),IF(E15=0,"",E15),IF(X15=1,$U$2,"")))</f>
        <v/>
      </c>
      <c r="AN15" s="15" t="str">
        <f aca="false">IF(Y15=1,"",IF(ISNUMBER(F15),IF(F15=0,"",F15),IF(X15=1,$U$2,"")))</f>
        <v/>
      </c>
      <c r="AO15" s="15" t="str">
        <f aca="false">IF(Y15=1,"",IF(ISNUMBER(G15),IF(G15=0,"",G15),IF(X15=1,$U$2,"")))</f>
        <v/>
      </c>
      <c r="AP15" s="15" t="str">
        <f aca="false">IF(Y15=1,"",IF(ISNUMBER(H15),IF(H15=0,"",H15),IF(X15=1,$U$2,"")))</f>
        <v/>
      </c>
      <c r="AR15" s="15" t="n">
        <f aca="false">IF(Y15=1,IF(ISNUMBER(E15),1,0),IF(AH15="",0,IF(IF($U$35=1,COUNTIF($AH$6:$AK$25,"&gt;"&amp;AH15),COUNTIF($AM$6:$AP$25,"&gt;"&amp;AH15))+COUNTIF($AH$6:$AK$14,AH15)+1&lt;=$U$45,1,0)))</f>
        <v>0</v>
      </c>
      <c r="AS15" s="15" t="n">
        <f aca="false">IF(Y15=1,IF(ISNUMBER(F15),1,0),IF(AI15="",0,IF(IF($U$35=1,COUNTIF($AH$6:$AK$25,"&gt;"&amp;AI15),COUNTIF($AM$6:$AP$25,"&gt;"&amp;AI15))+COUNTIF($AH$6:$AK$14,AI15)+COUNTIF($AH15:AH15,AI15)+1&lt;=$U$45,1,0)))</f>
        <v>0</v>
      </c>
      <c r="AT15" s="15" t="n">
        <f aca="false">IF(Y15=1,IF(ISNUMBER(G15),1,0),IF(AJ15="",0,IF(IF($U$35=1,COUNTIF($AH$6:$AK$25,"&gt;"&amp;AJ15),COUNTIF($AM$6:$AP$25,"&gt;"&amp;AJ15))+COUNTIF($AH$6:$AK$14,AJ15)+COUNTIF($AH15:AI15,AJ15)+1&lt;=$U$45,1,0)))</f>
        <v>0</v>
      </c>
      <c r="AU15" s="15" t="n">
        <f aca="false">IF(Y15=1,IF(ISNUMBER(H15),1,0),IF(AK15="",0,IF(IF($U$35=1,COUNTIF($AH$6:$AK$25,"&gt;"&amp;AK15),COUNTIF($AM$6:$AP$25,"&gt;"&amp;AK15))+COUNTIF($AH$6:$AK$14,AK15)+COUNTIF($AH15:AJ15,AK15)+1&lt;=$U$45,1,0)))</f>
        <v>0</v>
      </c>
      <c r="BZ15" s="15" t="n">
        <f aca="false">IFERROR(LARGE($AH$6:$AK$25,14),0)</f>
        <v>0</v>
      </c>
      <c r="CA15" s="15" t="n">
        <f aca="false">CA14+BZ15</f>
        <v>0</v>
      </c>
      <c r="CB15" s="15" t="n">
        <f aca="false">IFERROR(LARGE($AM$6:$AP$25,14),0)</f>
        <v>0</v>
      </c>
      <c r="CC15" s="15" t="n">
        <f aca="false">CC14+CB15</f>
        <v>0</v>
      </c>
    </row>
    <row r="16" customFormat="false" ht="15" hidden="false" customHeight="false" outlineLevel="0" collapsed="false">
      <c r="B16" s="36" t="s">
        <v>152</v>
      </c>
      <c r="C16" s="37"/>
      <c r="D16" s="38"/>
      <c r="E16" s="24"/>
      <c r="F16" s="24"/>
      <c r="G16" s="24"/>
      <c r="H16" s="24"/>
      <c r="I16" s="39"/>
      <c r="J16" s="39"/>
      <c r="L16" s="26" t="s">
        <v>153</v>
      </c>
      <c r="M16" s="28" t="str">
        <f aca="false">IF($U$4=0,"","≈ +"&amp;FIXED(40/$U$43,2))</f>
        <v/>
      </c>
      <c r="N16" s="29" t="s">
        <v>154</v>
      </c>
      <c r="T16" s="15" t="s">
        <v>155</v>
      </c>
      <c r="U16" s="15" t="n">
        <f aca="false">MIN(300,INT((SUM(BO6,BO7,BO8,BO9,BO10))+0.5+0.000000001))</f>
        <v>0</v>
      </c>
      <c r="X16" s="15" t="n">
        <f aca="false">IF(OR(LEN(TRIM(C16))&gt;0,COUNT(E16:H16)&gt;0),1,0)</f>
        <v>0</v>
      </c>
      <c r="Y16" s="15" t="n">
        <f aca="false">IF(LEN(TRIM(D16))&gt;0,1,0)</f>
        <v>0</v>
      </c>
      <c r="Z16" s="15" t="n">
        <f aca="false">Y16*SUM(E16:H16)</f>
        <v>0</v>
      </c>
      <c r="AA16" s="15" t="n">
        <f aca="false">Y16*COUNT(E16:H16)</f>
        <v>0</v>
      </c>
      <c r="AB16" s="15" t="n">
        <f aca="false">Y16*COUNTIF(E16:H16,"&lt;5")</f>
        <v>0</v>
      </c>
      <c r="AC16" s="15" t="n">
        <f aca="false">Y16*COUNTIF(E16:H16,0)</f>
        <v>0</v>
      </c>
      <c r="AD16" s="15" t="n">
        <f aca="false">Y16*(SUM(E16:H16)+X16*$U$2*(4-COUNT(E16:H16)))</f>
        <v>0</v>
      </c>
      <c r="AE16" s="15" t="n">
        <f aca="false">Y16*(COUNT(E16:H16)+X16*(4-COUNT(E16:H16)))</f>
        <v>0</v>
      </c>
      <c r="AF16" s="15" t="n">
        <f aca="false">Y16*(COUNTIF(E16:H16,"&lt;5")+X16*IF($U$2&lt;5,1,0)*(4-COUNT(E16:H16)))</f>
        <v>0</v>
      </c>
      <c r="AH16" s="15" t="str">
        <f aca="false">IF(Y16=1,"",IF(ISNUMBER(E16),IF(E16=0,"",E16),""))</f>
        <v/>
      </c>
      <c r="AI16" s="15" t="str">
        <f aca="false">IF(Y16=1,"",IF(ISNUMBER(F16),IF(F16=0,"",F16),""))</f>
        <v/>
      </c>
      <c r="AJ16" s="15" t="str">
        <f aca="false">IF(Y16=1,"",IF(ISNUMBER(G16),IF(G16=0,"",G16),""))</f>
        <v/>
      </c>
      <c r="AK16" s="15" t="str">
        <f aca="false">IF(Y16=1,"",IF(ISNUMBER(H16),IF(H16=0,"",H16),""))</f>
        <v/>
      </c>
      <c r="AM16" s="15" t="str">
        <f aca="false">IF(Y16=1,"",IF(ISNUMBER(E16),IF(E16=0,"",E16),IF(X16=1,$U$2,"")))</f>
        <v/>
      </c>
      <c r="AN16" s="15" t="str">
        <f aca="false">IF(Y16=1,"",IF(ISNUMBER(F16),IF(F16=0,"",F16),IF(X16=1,$U$2,"")))</f>
        <v/>
      </c>
      <c r="AO16" s="15" t="str">
        <f aca="false">IF(Y16=1,"",IF(ISNUMBER(G16),IF(G16=0,"",G16),IF(X16=1,$U$2,"")))</f>
        <v/>
      </c>
      <c r="AP16" s="15" t="str">
        <f aca="false">IF(Y16=1,"",IF(ISNUMBER(H16),IF(H16=0,"",H16),IF(X16=1,$U$2,"")))</f>
        <v/>
      </c>
      <c r="AR16" s="15" t="n">
        <f aca="false">IF(Y16=1,IF(ISNUMBER(E16),1,0),IF(AH16="",0,IF(IF($U$35=1,COUNTIF($AH$6:$AK$25,"&gt;"&amp;AH16),COUNTIF($AM$6:$AP$25,"&gt;"&amp;AH16))+COUNTIF($AH$6:$AK$15,AH16)+1&lt;=$U$45,1,0)))</f>
        <v>0</v>
      </c>
      <c r="AS16" s="15" t="n">
        <f aca="false">IF(Y16=1,IF(ISNUMBER(F16),1,0),IF(AI16="",0,IF(IF($U$35=1,COUNTIF($AH$6:$AK$25,"&gt;"&amp;AI16),COUNTIF($AM$6:$AP$25,"&gt;"&amp;AI16))+COUNTIF($AH$6:$AK$15,AI16)+COUNTIF($AH16:AH16,AI16)+1&lt;=$U$45,1,0)))</f>
        <v>0</v>
      </c>
      <c r="AT16" s="15" t="n">
        <f aca="false">IF(Y16=1,IF(ISNUMBER(G16),1,0),IF(AJ16="",0,IF(IF($U$35=1,COUNTIF($AH$6:$AK$25,"&gt;"&amp;AJ16),COUNTIF($AM$6:$AP$25,"&gt;"&amp;AJ16))+COUNTIF($AH$6:$AK$15,AJ16)+COUNTIF($AH16:AI16,AJ16)+1&lt;=$U$45,1,0)))</f>
        <v>0</v>
      </c>
      <c r="AU16" s="15" t="n">
        <f aca="false">IF(Y16=1,IF(ISNUMBER(H16),1,0),IF(AK16="",0,IF(IF($U$35=1,COUNTIF($AH$6:$AK$25,"&gt;"&amp;AK16),COUNTIF($AM$6:$AP$25,"&gt;"&amp;AK16))+COUNTIF($AH$6:$AK$15,AK16)+COUNTIF($AH16:AJ16,AK16)+1&lt;=$U$45,1,0)))</f>
        <v>0</v>
      </c>
      <c r="BZ16" s="15" t="n">
        <f aca="false">IFERROR(LARGE($AH$6:$AK$25,15),0)</f>
        <v>0</v>
      </c>
      <c r="CA16" s="15" t="n">
        <f aca="false">CA15+BZ16</f>
        <v>0</v>
      </c>
      <c r="CB16" s="15" t="n">
        <f aca="false">IFERROR(LARGE($AM$6:$AP$25,15),0)</f>
        <v>0</v>
      </c>
      <c r="CC16" s="15" t="n">
        <f aca="false">CC15+CB16</f>
        <v>0</v>
      </c>
    </row>
    <row r="17" customFormat="false" ht="15" hidden="false" customHeight="false" outlineLevel="0" collapsed="false">
      <c r="B17" s="36" t="s">
        <v>156</v>
      </c>
      <c r="C17" s="37"/>
      <c r="D17" s="38"/>
      <c r="E17" s="24"/>
      <c r="F17" s="24"/>
      <c r="G17" s="24"/>
      <c r="H17" s="24"/>
      <c r="I17" s="39"/>
      <c r="J17" s="39"/>
      <c r="T17" s="15" t="s">
        <v>157</v>
      </c>
      <c r="U17" s="15" t="n">
        <f aca="false">SUM(BP6,BP7,BP8,BP9,BP10)</f>
        <v>0</v>
      </c>
      <c r="X17" s="15" t="n">
        <f aca="false">IF(OR(LEN(TRIM(C17))&gt;0,COUNT(E17:H17)&gt;0),1,0)</f>
        <v>0</v>
      </c>
      <c r="Y17" s="15" t="n">
        <f aca="false">IF(LEN(TRIM(D17))&gt;0,1,0)</f>
        <v>0</v>
      </c>
      <c r="Z17" s="15" t="n">
        <f aca="false">Y17*SUM(E17:H17)</f>
        <v>0</v>
      </c>
      <c r="AA17" s="15" t="n">
        <f aca="false">Y17*COUNT(E17:H17)</f>
        <v>0</v>
      </c>
      <c r="AB17" s="15" t="n">
        <f aca="false">Y17*COUNTIF(E17:H17,"&lt;5")</f>
        <v>0</v>
      </c>
      <c r="AC17" s="15" t="n">
        <f aca="false">Y17*COUNTIF(E17:H17,0)</f>
        <v>0</v>
      </c>
      <c r="AD17" s="15" t="n">
        <f aca="false">Y17*(SUM(E17:H17)+X17*$U$2*(4-COUNT(E17:H17)))</f>
        <v>0</v>
      </c>
      <c r="AE17" s="15" t="n">
        <f aca="false">Y17*(COUNT(E17:H17)+X17*(4-COUNT(E17:H17)))</f>
        <v>0</v>
      </c>
      <c r="AF17" s="15" t="n">
        <f aca="false">Y17*(COUNTIF(E17:H17,"&lt;5")+X17*IF($U$2&lt;5,1,0)*(4-COUNT(E17:H17)))</f>
        <v>0</v>
      </c>
      <c r="AH17" s="15" t="str">
        <f aca="false">IF(Y17=1,"",IF(ISNUMBER(E17),IF(E17=0,"",E17),""))</f>
        <v/>
      </c>
      <c r="AI17" s="15" t="str">
        <f aca="false">IF(Y17=1,"",IF(ISNUMBER(F17),IF(F17=0,"",F17),""))</f>
        <v/>
      </c>
      <c r="AJ17" s="15" t="str">
        <f aca="false">IF(Y17=1,"",IF(ISNUMBER(G17),IF(G17=0,"",G17),""))</f>
        <v/>
      </c>
      <c r="AK17" s="15" t="str">
        <f aca="false">IF(Y17=1,"",IF(ISNUMBER(H17),IF(H17=0,"",H17),""))</f>
        <v/>
      </c>
      <c r="AM17" s="15" t="str">
        <f aca="false">IF(Y17=1,"",IF(ISNUMBER(E17),IF(E17=0,"",E17),IF(X17=1,$U$2,"")))</f>
        <v/>
      </c>
      <c r="AN17" s="15" t="str">
        <f aca="false">IF(Y17=1,"",IF(ISNUMBER(F17),IF(F17=0,"",F17),IF(X17=1,$U$2,"")))</f>
        <v/>
      </c>
      <c r="AO17" s="15" t="str">
        <f aca="false">IF(Y17=1,"",IF(ISNUMBER(G17),IF(G17=0,"",G17),IF(X17=1,$U$2,"")))</f>
        <v/>
      </c>
      <c r="AP17" s="15" t="str">
        <f aca="false">IF(Y17=1,"",IF(ISNUMBER(H17),IF(H17=0,"",H17),IF(X17=1,$U$2,"")))</f>
        <v/>
      </c>
      <c r="AR17" s="15" t="n">
        <f aca="false">IF(Y17=1,IF(ISNUMBER(E17),1,0),IF(AH17="",0,IF(IF($U$35=1,COUNTIF($AH$6:$AK$25,"&gt;"&amp;AH17),COUNTIF($AM$6:$AP$25,"&gt;"&amp;AH17))+COUNTIF($AH$6:$AK$16,AH17)+1&lt;=$U$45,1,0)))</f>
        <v>0</v>
      </c>
      <c r="AS17" s="15" t="n">
        <f aca="false">IF(Y17=1,IF(ISNUMBER(F17),1,0),IF(AI17="",0,IF(IF($U$35=1,COUNTIF($AH$6:$AK$25,"&gt;"&amp;AI17),COUNTIF($AM$6:$AP$25,"&gt;"&amp;AI17))+COUNTIF($AH$6:$AK$16,AI17)+COUNTIF($AH17:AH17,AI17)+1&lt;=$U$45,1,0)))</f>
        <v>0</v>
      </c>
      <c r="AT17" s="15" t="n">
        <f aca="false">IF(Y17=1,IF(ISNUMBER(G17),1,0),IF(AJ17="",0,IF(IF($U$35=1,COUNTIF($AH$6:$AK$25,"&gt;"&amp;AJ17),COUNTIF($AM$6:$AP$25,"&gt;"&amp;AJ17))+COUNTIF($AH$6:$AK$16,AJ17)+COUNTIF($AH17:AI17,AJ17)+1&lt;=$U$45,1,0)))</f>
        <v>0</v>
      </c>
      <c r="AU17" s="15" t="n">
        <f aca="false">IF(Y17=1,IF(ISNUMBER(H17),1,0),IF(AK17="",0,IF(IF($U$35=1,COUNTIF($AH$6:$AK$25,"&gt;"&amp;AK17),COUNTIF($AM$6:$AP$25,"&gt;"&amp;AK17))+COUNTIF($AH$6:$AK$16,AK17)+COUNTIF($AH17:AJ17,AK17)+1&lt;=$U$45,1,0)))</f>
        <v>0</v>
      </c>
      <c r="BZ17" s="15" t="n">
        <f aca="false">IFERROR(LARGE($AH$6:$AK$25,16),0)</f>
        <v>0</v>
      </c>
      <c r="CA17" s="15" t="n">
        <f aca="false">CA16+BZ17</f>
        <v>0</v>
      </c>
      <c r="CB17" s="15" t="n">
        <f aca="false">IFERROR(LARGE($AM$6:$AP$25,16),0)</f>
        <v>0</v>
      </c>
      <c r="CC17" s="15" t="n">
        <f aca="false">CC16+CB17</f>
        <v>0</v>
      </c>
    </row>
    <row r="18" customFormat="false" ht="15" hidden="false" customHeight="false" outlineLevel="0" collapsed="false">
      <c r="B18" s="36" t="s">
        <v>158</v>
      </c>
      <c r="C18" s="37"/>
      <c r="D18" s="38"/>
      <c r="E18" s="24"/>
      <c r="F18" s="24"/>
      <c r="G18" s="24"/>
      <c r="H18" s="24"/>
      <c r="I18" s="39"/>
      <c r="J18" s="39"/>
      <c r="L18" s="40" t="s">
        <v>159</v>
      </c>
      <c r="M18" s="41" t="s">
        <v>111</v>
      </c>
      <c r="N18" s="6" t="s">
        <v>160</v>
      </c>
      <c r="T18" s="15" t="s">
        <v>161</v>
      </c>
      <c r="U18" s="15" t="n">
        <f aca="false">0</f>
        <v>0</v>
      </c>
      <c r="X18" s="15" t="n">
        <f aca="false">IF(OR(LEN(TRIM(C18))&gt;0,COUNT(E18:H18)&gt;0),1,0)</f>
        <v>0</v>
      </c>
      <c r="Y18" s="15" t="n">
        <f aca="false">IF(LEN(TRIM(D18))&gt;0,1,0)</f>
        <v>0</v>
      </c>
      <c r="Z18" s="15" t="n">
        <f aca="false">Y18*SUM(E18:H18)</f>
        <v>0</v>
      </c>
      <c r="AA18" s="15" t="n">
        <f aca="false">Y18*COUNT(E18:H18)</f>
        <v>0</v>
      </c>
      <c r="AB18" s="15" t="n">
        <f aca="false">Y18*COUNTIF(E18:H18,"&lt;5")</f>
        <v>0</v>
      </c>
      <c r="AC18" s="15" t="n">
        <f aca="false">Y18*COUNTIF(E18:H18,0)</f>
        <v>0</v>
      </c>
      <c r="AD18" s="15" t="n">
        <f aca="false">Y18*(SUM(E18:H18)+X18*$U$2*(4-COUNT(E18:H18)))</f>
        <v>0</v>
      </c>
      <c r="AE18" s="15" t="n">
        <f aca="false">Y18*(COUNT(E18:H18)+X18*(4-COUNT(E18:H18)))</f>
        <v>0</v>
      </c>
      <c r="AF18" s="15" t="n">
        <f aca="false">Y18*(COUNTIF(E18:H18,"&lt;5")+X18*IF($U$2&lt;5,1,0)*(4-COUNT(E18:H18)))</f>
        <v>0</v>
      </c>
      <c r="AH18" s="15" t="str">
        <f aca="false">IF(Y18=1,"",IF(ISNUMBER(E18),IF(E18=0,"",E18),""))</f>
        <v/>
      </c>
      <c r="AI18" s="15" t="str">
        <f aca="false">IF(Y18=1,"",IF(ISNUMBER(F18),IF(F18=0,"",F18),""))</f>
        <v/>
      </c>
      <c r="AJ18" s="15" t="str">
        <f aca="false">IF(Y18=1,"",IF(ISNUMBER(G18),IF(G18=0,"",G18),""))</f>
        <v/>
      </c>
      <c r="AK18" s="15" t="str">
        <f aca="false">IF(Y18=1,"",IF(ISNUMBER(H18),IF(H18=0,"",H18),""))</f>
        <v/>
      </c>
      <c r="AM18" s="15" t="str">
        <f aca="false">IF(Y18=1,"",IF(ISNUMBER(E18),IF(E18=0,"",E18),IF(X18=1,$U$2,"")))</f>
        <v/>
      </c>
      <c r="AN18" s="15" t="str">
        <f aca="false">IF(Y18=1,"",IF(ISNUMBER(F18),IF(F18=0,"",F18),IF(X18=1,$U$2,"")))</f>
        <v/>
      </c>
      <c r="AO18" s="15" t="str">
        <f aca="false">IF(Y18=1,"",IF(ISNUMBER(G18),IF(G18=0,"",G18),IF(X18=1,$U$2,"")))</f>
        <v/>
      </c>
      <c r="AP18" s="15" t="str">
        <f aca="false">IF(Y18=1,"",IF(ISNUMBER(H18),IF(H18=0,"",H18),IF(X18=1,$U$2,"")))</f>
        <v/>
      </c>
      <c r="AR18" s="15" t="n">
        <f aca="false">IF(Y18=1,IF(ISNUMBER(E18),1,0),IF(AH18="",0,IF(IF($U$35=1,COUNTIF($AH$6:$AK$25,"&gt;"&amp;AH18),COUNTIF($AM$6:$AP$25,"&gt;"&amp;AH18))+COUNTIF($AH$6:$AK$17,AH18)+1&lt;=$U$45,1,0)))</f>
        <v>0</v>
      </c>
      <c r="AS18" s="15" t="n">
        <f aca="false">IF(Y18=1,IF(ISNUMBER(F18),1,0),IF(AI18="",0,IF(IF($U$35=1,COUNTIF($AH$6:$AK$25,"&gt;"&amp;AI18),COUNTIF($AM$6:$AP$25,"&gt;"&amp;AI18))+COUNTIF($AH$6:$AK$17,AI18)+COUNTIF($AH18:AH18,AI18)+1&lt;=$U$45,1,0)))</f>
        <v>0</v>
      </c>
      <c r="AT18" s="15" t="n">
        <f aca="false">IF(Y18=1,IF(ISNUMBER(G18),1,0),IF(AJ18="",0,IF(IF($U$35=1,COUNTIF($AH$6:$AK$25,"&gt;"&amp;AJ18),COUNTIF($AM$6:$AP$25,"&gt;"&amp;AJ18))+COUNTIF($AH$6:$AK$17,AJ18)+COUNTIF($AH18:AI18,AJ18)+1&lt;=$U$45,1,0)))</f>
        <v>0</v>
      </c>
      <c r="AU18" s="15" t="n">
        <f aca="false">IF(Y18=1,IF(ISNUMBER(H18),1,0),IF(AK18="",0,IF(IF($U$35=1,COUNTIF($AH$6:$AK$25,"&gt;"&amp;AK18),COUNTIF($AM$6:$AP$25,"&gt;"&amp;AK18))+COUNTIF($AH$6:$AK$17,AK18)+COUNTIF($AH18:AJ18,AK18)+1&lt;=$U$45,1,0)))</f>
        <v>0</v>
      </c>
      <c r="BZ18" s="15" t="n">
        <f aca="false">IFERROR(LARGE($AH$6:$AK$25,17),0)</f>
        <v>0</v>
      </c>
      <c r="CA18" s="15" t="n">
        <f aca="false">CA17+BZ18</f>
        <v>0</v>
      </c>
      <c r="CB18" s="15" t="n">
        <f aca="false">IFERROR(LARGE($AM$6:$AP$25,17),0)</f>
        <v>0</v>
      </c>
      <c r="CC18" s="15" t="n">
        <f aca="false">CC17+CB18</f>
        <v>0</v>
      </c>
    </row>
    <row r="19" customFormat="false" ht="15" hidden="false" customHeight="false" outlineLevel="0" collapsed="false">
      <c r="B19" s="36" t="s">
        <v>162</v>
      </c>
      <c r="C19" s="37"/>
      <c r="D19" s="38"/>
      <c r="E19" s="24"/>
      <c r="F19" s="24"/>
      <c r="G19" s="24"/>
      <c r="H19" s="24"/>
      <c r="I19" s="39"/>
      <c r="J19" s="39"/>
      <c r="L19" s="42" t="s">
        <v>163</v>
      </c>
      <c r="M19" s="43" t="str">
        <f aca="false">IF($U$4=0,"",IF($U$47=1,"✓ erfüllt","✗ nicht erfüllt"))</f>
        <v/>
      </c>
      <c r="N19" s="36" t="str">
        <f aca="false">IF($U$4=0,"",$U$36&amp;" Punkte")</f>
        <v/>
      </c>
      <c r="T19" s="15" t="s">
        <v>164</v>
      </c>
      <c r="U19" s="15" t="n">
        <f aca="false">BQ6+BQ7+BQ8+BQ9+BQ10</f>
        <v>0</v>
      </c>
      <c r="X19" s="15" t="n">
        <f aca="false">IF(OR(LEN(TRIM(C19))&gt;0,COUNT(E19:H19)&gt;0),1,0)</f>
        <v>0</v>
      </c>
      <c r="Y19" s="15" t="n">
        <f aca="false">IF(LEN(TRIM(D19))&gt;0,1,0)</f>
        <v>0</v>
      </c>
      <c r="Z19" s="15" t="n">
        <f aca="false">Y19*SUM(E19:H19)</f>
        <v>0</v>
      </c>
      <c r="AA19" s="15" t="n">
        <f aca="false">Y19*COUNT(E19:H19)</f>
        <v>0</v>
      </c>
      <c r="AB19" s="15" t="n">
        <f aca="false">Y19*COUNTIF(E19:H19,"&lt;5")</f>
        <v>0</v>
      </c>
      <c r="AC19" s="15" t="n">
        <f aca="false">Y19*COUNTIF(E19:H19,0)</f>
        <v>0</v>
      </c>
      <c r="AD19" s="15" t="n">
        <f aca="false">Y19*(SUM(E19:H19)+X19*$U$2*(4-COUNT(E19:H19)))</f>
        <v>0</v>
      </c>
      <c r="AE19" s="15" t="n">
        <f aca="false">Y19*(COUNT(E19:H19)+X19*(4-COUNT(E19:H19)))</f>
        <v>0</v>
      </c>
      <c r="AF19" s="15" t="n">
        <f aca="false">Y19*(COUNTIF(E19:H19,"&lt;5")+X19*IF($U$2&lt;5,1,0)*(4-COUNT(E19:H19)))</f>
        <v>0</v>
      </c>
      <c r="AH19" s="15" t="str">
        <f aca="false">IF(Y19=1,"",IF(ISNUMBER(E19),IF(E19=0,"",E19),""))</f>
        <v/>
      </c>
      <c r="AI19" s="15" t="str">
        <f aca="false">IF(Y19=1,"",IF(ISNUMBER(F19),IF(F19=0,"",F19),""))</f>
        <v/>
      </c>
      <c r="AJ19" s="15" t="str">
        <f aca="false">IF(Y19=1,"",IF(ISNUMBER(G19),IF(G19=0,"",G19),""))</f>
        <v/>
      </c>
      <c r="AK19" s="15" t="str">
        <f aca="false">IF(Y19=1,"",IF(ISNUMBER(H19),IF(H19=0,"",H19),""))</f>
        <v/>
      </c>
      <c r="AM19" s="15" t="str">
        <f aca="false">IF(Y19=1,"",IF(ISNUMBER(E19),IF(E19=0,"",E19),IF(X19=1,$U$2,"")))</f>
        <v/>
      </c>
      <c r="AN19" s="15" t="str">
        <f aca="false">IF(Y19=1,"",IF(ISNUMBER(F19),IF(F19=0,"",F19),IF(X19=1,$U$2,"")))</f>
        <v/>
      </c>
      <c r="AO19" s="15" t="str">
        <f aca="false">IF(Y19=1,"",IF(ISNUMBER(G19),IF(G19=0,"",G19),IF(X19=1,$U$2,"")))</f>
        <v/>
      </c>
      <c r="AP19" s="15" t="str">
        <f aca="false">IF(Y19=1,"",IF(ISNUMBER(H19),IF(H19=0,"",H19),IF(X19=1,$U$2,"")))</f>
        <v/>
      </c>
      <c r="AR19" s="15" t="n">
        <f aca="false">IF(Y19=1,IF(ISNUMBER(E19),1,0),IF(AH19="",0,IF(IF($U$35=1,COUNTIF($AH$6:$AK$25,"&gt;"&amp;AH19),COUNTIF($AM$6:$AP$25,"&gt;"&amp;AH19))+COUNTIF($AH$6:$AK$18,AH19)+1&lt;=$U$45,1,0)))</f>
        <v>0</v>
      </c>
      <c r="AS19" s="15" t="n">
        <f aca="false">IF(Y19=1,IF(ISNUMBER(F19),1,0),IF(AI19="",0,IF(IF($U$35=1,COUNTIF($AH$6:$AK$25,"&gt;"&amp;AI19),COUNTIF($AM$6:$AP$25,"&gt;"&amp;AI19))+COUNTIF($AH$6:$AK$18,AI19)+COUNTIF($AH19:AH19,AI19)+1&lt;=$U$45,1,0)))</f>
        <v>0</v>
      </c>
      <c r="AT19" s="15" t="n">
        <f aca="false">IF(Y19=1,IF(ISNUMBER(G19),1,0),IF(AJ19="",0,IF(IF($U$35=1,COUNTIF($AH$6:$AK$25,"&gt;"&amp;AJ19),COUNTIF($AM$6:$AP$25,"&gt;"&amp;AJ19))+COUNTIF($AH$6:$AK$18,AJ19)+COUNTIF($AH19:AI19,AJ19)+1&lt;=$U$45,1,0)))</f>
        <v>0</v>
      </c>
      <c r="AU19" s="15" t="n">
        <f aca="false">IF(Y19=1,IF(ISNUMBER(H19),1,0),IF(AK19="",0,IF(IF($U$35=1,COUNTIF($AH$6:$AK$25,"&gt;"&amp;AK19),COUNTIF($AM$6:$AP$25,"&gt;"&amp;AK19))+COUNTIF($AH$6:$AK$18,AK19)+COUNTIF($AH19:AJ19,AK19)+1&lt;=$U$45,1,0)))</f>
        <v>0</v>
      </c>
      <c r="BZ19" s="15" t="n">
        <f aca="false">IFERROR(LARGE($AH$6:$AK$25,18),0)</f>
        <v>0</v>
      </c>
      <c r="CA19" s="15" t="n">
        <f aca="false">CA18+BZ19</f>
        <v>0</v>
      </c>
      <c r="CB19" s="15" t="n">
        <f aca="false">IFERROR(LARGE($AM$6:$AP$25,18),0)</f>
        <v>0</v>
      </c>
      <c r="CC19" s="15" t="n">
        <f aca="false">CC18+CB19</f>
        <v>0</v>
      </c>
    </row>
    <row r="20" customFormat="false" ht="15" hidden="false" customHeight="false" outlineLevel="0" collapsed="false">
      <c r="B20" s="36" t="s">
        <v>165</v>
      </c>
      <c r="C20" s="37"/>
      <c r="D20" s="38"/>
      <c r="E20" s="24"/>
      <c r="F20" s="24"/>
      <c r="G20" s="24"/>
      <c r="H20" s="24"/>
      <c r="I20" s="39"/>
      <c r="J20" s="39"/>
      <c r="L20" s="42" t="str">
        <f aca="false">"Höchstens "&amp;$U$39&amp;" Unterkurse (unter 5 Punkten)"</f>
        <v>Höchstens 7 Unterkurse (unter 5 Punkten)</v>
      </c>
      <c r="M20" s="43" t="str">
        <f aca="false">IF($U$4=0,"",IF($U$48=1,"✓ erfüllt","✗ nicht erfüllt"))</f>
        <v/>
      </c>
      <c r="N20" s="36" t="str">
        <f aca="false">IF($U$4=0,"",$U$38&amp;" Unterkurse")</f>
        <v/>
      </c>
      <c r="T20" s="15" t="s">
        <v>166</v>
      </c>
      <c r="U20" s="15" t="n">
        <f aca="false">BR6+BR7+BR8+BR9+BR10</f>
        <v>0</v>
      </c>
      <c r="X20" s="15" t="n">
        <f aca="false">IF(OR(LEN(TRIM(C20))&gt;0,COUNT(E20:H20)&gt;0),1,0)</f>
        <v>0</v>
      </c>
      <c r="Y20" s="15" t="n">
        <f aca="false">IF(LEN(TRIM(D20))&gt;0,1,0)</f>
        <v>0</v>
      </c>
      <c r="Z20" s="15" t="n">
        <f aca="false">Y20*SUM(E20:H20)</f>
        <v>0</v>
      </c>
      <c r="AA20" s="15" t="n">
        <f aca="false">Y20*COUNT(E20:H20)</f>
        <v>0</v>
      </c>
      <c r="AB20" s="15" t="n">
        <f aca="false">Y20*COUNTIF(E20:H20,"&lt;5")</f>
        <v>0</v>
      </c>
      <c r="AC20" s="15" t="n">
        <f aca="false">Y20*COUNTIF(E20:H20,0)</f>
        <v>0</v>
      </c>
      <c r="AD20" s="15" t="n">
        <f aca="false">Y20*(SUM(E20:H20)+X20*$U$2*(4-COUNT(E20:H20)))</f>
        <v>0</v>
      </c>
      <c r="AE20" s="15" t="n">
        <f aca="false">Y20*(COUNT(E20:H20)+X20*(4-COUNT(E20:H20)))</f>
        <v>0</v>
      </c>
      <c r="AF20" s="15" t="n">
        <f aca="false">Y20*(COUNTIF(E20:H20,"&lt;5")+X20*IF($U$2&lt;5,1,0)*(4-COUNT(E20:H20)))</f>
        <v>0</v>
      </c>
      <c r="AH20" s="15" t="str">
        <f aca="false">IF(Y20=1,"",IF(ISNUMBER(E20),IF(E20=0,"",E20),""))</f>
        <v/>
      </c>
      <c r="AI20" s="15" t="str">
        <f aca="false">IF(Y20=1,"",IF(ISNUMBER(F20),IF(F20=0,"",F20),""))</f>
        <v/>
      </c>
      <c r="AJ20" s="15" t="str">
        <f aca="false">IF(Y20=1,"",IF(ISNUMBER(G20),IF(G20=0,"",G20),""))</f>
        <v/>
      </c>
      <c r="AK20" s="15" t="str">
        <f aca="false">IF(Y20=1,"",IF(ISNUMBER(H20),IF(H20=0,"",H20),""))</f>
        <v/>
      </c>
      <c r="AM20" s="15" t="str">
        <f aca="false">IF(Y20=1,"",IF(ISNUMBER(E20),IF(E20=0,"",E20),IF(X20=1,$U$2,"")))</f>
        <v/>
      </c>
      <c r="AN20" s="15" t="str">
        <f aca="false">IF(Y20=1,"",IF(ISNUMBER(F20),IF(F20=0,"",F20),IF(X20=1,$U$2,"")))</f>
        <v/>
      </c>
      <c r="AO20" s="15" t="str">
        <f aca="false">IF(Y20=1,"",IF(ISNUMBER(G20),IF(G20=0,"",G20),IF(X20=1,$U$2,"")))</f>
        <v/>
      </c>
      <c r="AP20" s="15" t="str">
        <f aca="false">IF(Y20=1,"",IF(ISNUMBER(H20),IF(H20=0,"",H20),IF(X20=1,$U$2,"")))</f>
        <v/>
      </c>
      <c r="AR20" s="15" t="n">
        <f aca="false">IF(Y20=1,IF(ISNUMBER(E20),1,0),IF(AH20="",0,IF(IF($U$35=1,COUNTIF($AH$6:$AK$25,"&gt;"&amp;AH20),COUNTIF($AM$6:$AP$25,"&gt;"&amp;AH20))+COUNTIF($AH$6:$AK$19,AH20)+1&lt;=$U$45,1,0)))</f>
        <v>0</v>
      </c>
      <c r="AS20" s="15" t="n">
        <f aca="false">IF(Y20=1,IF(ISNUMBER(F20),1,0),IF(AI20="",0,IF(IF($U$35=1,COUNTIF($AH$6:$AK$25,"&gt;"&amp;AI20),COUNTIF($AM$6:$AP$25,"&gt;"&amp;AI20))+COUNTIF($AH$6:$AK$19,AI20)+COUNTIF($AH20:AH20,AI20)+1&lt;=$U$45,1,0)))</f>
        <v>0</v>
      </c>
      <c r="AT20" s="15" t="n">
        <f aca="false">IF(Y20=1,IF(ISNUMBER(G20),1,0),IF(AJ20="",0,IF(IF($U$35=1,COUNTIF($AH$6:$AK$25,"&gt;"&amp;AJ20),COUNTIF($AM$6:$AP$25,"&gt;"&amp;AJ20))+COUNTIF($AH$6:$AK$19,AJ20)+COUNTIF($AH20:AI20,AJ20)+1&lt;=$U$45,1,0)))</f>
        <v>0</v>
      </c>
      <c r="AU20" s="15" t="n">
        <f aca="false">IF(Y20=1,IF(ISNUMBER(H20),1,0),IF(AK20="",0,IF(IF($U$35=1,COUNTIF($AH$6:$AK$25,"&gt;"&amp;AK20),COUNTIF($AM$6:$AP$25,"&gt;"&amp;AK20))+COUNTIF($AH$6:$AK$19,AK20)+COUNTIF($AH20:AJ20,AK20)+1&lt;=$U$45,1,0)))</f>
        <v>0</v>
      </c>
      <c r="BZ20" s="15" t="n">
        <f aca="false">IFERROR(LARGE($AH$6:$AK$25,19),0)</f>
        <v>0</v>
      </c>
      <c r="CA20" s="15" t="n">
        <f aca="false">CA19+BZ20</f>
        <v>0</v>
      </c>
      <c r="CB20" s="15" t="n">
        <f aca="false">IFERROR(LARGE($AM$6:$AP$25,19),0)</f>
        <v>0</v>
      </c>
      <c r="CC20" s="15" t="n">
        <f aca="false">CC19+CB20</f>
        <v>0</v>
      </c>
    </row>
    <row r="21" customFormat="false" ht="15" hidden="false" customHeight="false" outlineLevel="0" collapsed="false">
      <c r="B21" s="36" t="s">
        <v>167</v>
      </c>
      <c r="C21" s="37"/>
      <c r="D21" s="38"/>
      <c r="E21" s="24"/>
      <c r="F21" s="24"/>
      <c r="G21" s="24"/>
      <c r="H21" s="24"/>
      <c r="I21" s="39"/>
      <c r="J21" s="39"/>
      <c r="L21" s="42" t="s">
        <v>168</v>
      </c>
      <c r="M21" s="43" t="str">
        <f aca="false">IF($U$4=0,"",IF($U$53=1,"✓ erfüllt","✗ nicht erfüllt"))</f>
        <v/>
      </c>
      <c r="N21" s="36" t="str">
        <f aca="false">IF($U$4=0,"",$U$12&amp;" mit 0 Punkten")</f>
        <v/>
      </c>
      <c r="T21" s="15" t="s">
        <v>169</v>
      </c>
      <c r="U21" s="15" t="n">
        <f aca="false">MIN(300,INT((SUM(BU6,BU7,BU8,BU9,BU10))+0.5+0.000000001))</f>
        <v>140</v>
      </c>
      <c r="X21" s="15" t="n">
        <f aca="false">IF(OR(LEN(TRIM(C21))&gt;0,COUNT(E21:H21)&gt;0),1,0)</f>
        <v>0</v>
      </c>
      <c r="Y21" s="15" t="n">
        <f aca="false">IF(LEN(TRIM(D21))&gt;0,1,0)</f>
        <v>0</v>
      </c>
      <c r="Z21" s="15" t="n">
        <f aca="false">Y21*SUM(E21:H21)</f>
        <v>0</v>
      </c>
      <c r="AA21" s="15" t="n">
        <f aca="false">Y21*COUNT(E21:H21)</f>
        <v>0</v>
      </c>
      <c r="AB21" s="15" t="n">
        <f aca="false">Y21*COUNTIF(E21:H21,"&lt;5")</f>
        <v>0</v>
      </c>
      <c r="AC21" s="15" t="n">
        <f aca="false">Y21*COUNTIF(E21:H21,0)</f>
        <v>0</v>
      </c>
      <c r="AD21" s="15" t="n">
        <f aca="false">Y21*(SUM(E21:H21)+X21*$U$2*(4-COUNT(E21:H21)))</f>
        <v>0</v>
      </c>
      <c r="AE21" s="15" t="n">
        <f aca="false">Y21*(COUNT(E21:H21)+X21*(4-COUNT(E21:H21)))</f>
        <v>0</v>
      </c>
      <c r="AF21" s="15" t="n">
        <f aca="false">Y21*(COUNTIF(E21:H21,"&lt;5")+X21*IF($U$2&lt;5,1,0)*(4-COUNT(E21:H21)))</f>
        <v>0</v>
      </c>
      <c r="AH21" s="15" t="str">
        <f aca="false">IF(Y21=1,"",IF(ISNUMBER(E21),IF(E21=0,"",E21),""))</f>
        <v/>
      </c>
      <c r="AI21" s="15" t="str">
        <f aca="false">IF(Y21=1,"",IF(ISNUMBER(F21),IF(F21=0,"",F21),""))</f>
        <v/>
      </c>
      <c r="AJ21" s="15" t="str">
        <f aca="false">IF(Y21=1,"",IF(ISNUMBER(G21),IF(G21=0,"",G21),""))</f>
        <v/>
      </c>
      <c r="AK21" s="15" t="str">
        <f aca="false">IF(Y21=1,"",IF(ISNUMBER(H21),IF(H21=0,"",H21),""))</f>
        <v/>
      </c>
      <c r="AM21" s="15" t="str">
        <f aca="false">IF(Y21=1,"",IF(ISNUMBER(E21),IF(E21=0,"",E21),IF(X21=1,$U$2,"")))</f>
        <v/>
      </c>
      <c r="AN21" s="15" t="str">
        <f aca="false">IF(Y21=1,"",IF(ISNUMBER(F21),IF(F21=0,"",F21),IF(X21=1,$U$2,"")))</f>
        <v/>
      </c>
      <c r="AO21" s="15" t="str">
        <f aca="false">IF(Y21=1,"",IF(ISNUMBER(G21),IF(G21=0,"",G21),IF(X21=1,$U$2,"")))</f>
        <v/>
      </c>
      <c r="AP21" s="15" t="str">
        <f aca="false">IF(Y21=1,"",IF(ISNUMBER(H21),IF(H21=0,"",H21),IF(X21=1,$U$2,"")))</f>
        <v/>
      </c>
      <c r="AR21" s="15" t="n">
        <f aca="false">IF(Y21=1,IF(ISNUMBER(E21),1,0),IF(AH21="",0,IF(IF($U$35=1,COUNTIF($AH$6:$AK$25,"&gt;"&amp;AH21),COUNTIF($AM$6:$AP$25,"&gt;"&amp;AH21))+COUNTIF($AH$6:$AK$20,AH21)+1&lt;=$U$45,1,0)))</f>
        <v>0</v>
      </c>
      <c r="AS21" s="15" t="n">
        <f aca="false">IF(Y21=1,IF(ISNUMBER(F21),1,0),IF(AI21="",0,IF(IF($U$35=1,COUNTIF($AH$6:$AK$25,"&gt;"&amp;AI21),COUNTIF($AM$6:$AP$25,"&gt;"&amp;AI21))+COUNTIF($AH$6:$AK$20,AI21)+COUNTIF($AH21:AH21,AI21)+1&lt;=$U$45,1,0)))</f>
        <v>0</v>
      </c>
      <c r="AT21" s="15" t="n">
        <f aca="false">IF(Y21=1,IF(ISNUMBER(G21),1,0),IF(AJ21="",0,IF(IF($U$35=1,COUNTIF($AH$6:$AK$25,"&gt;"&amp;AJ21),COUNTIF($AM$6:$AP$25,"&gt;"&amp;AJ21))+COUNTIF($AH$6:$AK$20,AJ21)+COUNTIF($AH21:AI21,AJ21)+1&lt;=$U$45,1,0)))</f>
        <v>0</v>
      </c>
      <c r="AU21" s="15" t="n">
        <f aca="false">IF(Y21=1,IF(ISNUMBER(H21),1,0),IF(AK21="",0,IF(IF($U$35=1,COUNTIF($AH$6:$AK$25,"&gt;"&amp;AK21),COUNTIF($AM$6:$AP$25,"&gt;"&amp;AK21))+COUNTIF($AH$6:$AK$20,AK21)+COUNTIF($AH21:AJ21,AK21)+1&lt;=$U$45,1,0)))</f>
        <v>0</v>
      </c>
      <c r="BZ21" s="15" t="n">
        <f aca="false">IFERROR(LARGE($AH$6:$AK$25,20),0)</f>
        <v>0</v>
      </c>
      <c r="CA21" s="15" t="n">
        <f aca="false">CA20+BZ21</f>
        <v>0</v>
      </c>
      <c r="CB21" s="15" t="n">
        <f aca="false">IFERROR(LARGE($AM$6:$AP$25,20),0)</f>
        <v>0</v>
      </c>
      <c r="CC21" s="15" t="n">
        <f aca="false">CC20+CB21</f>
        <v>0</v>
      </c>
    </row>
    <row r="22" customFormat="false" ht="22.35" hidden="false" customHeight="false" outlineLevel="0" collapsed="false">
      <c r="B22" s="36" t="s">
        <v>170</v>
      </c>
      <c r="C22" s="37"/>
      <c r="D22" s="38"/>
      <c r="E22" s="24"/>
      <c r="F22" s="24"/>
      <c r="G22" s="24"/>
      <c r="H22" s="24"/>
      <c r="I22" s="39"/>
      <c r="J22" s="39"/>
      <c r="L22" s="42" t="s">
        <v>171</v>
      </c>
      <c r="M22" s="43" t="str">
        <f aca="false">IF($U$4=0,"",IF($U$56=1,"✓ erfüllt","✗ nicht erfüllt"))</f>
        <v/>
      </c>
      <c r="N22" s="36"/>
      <c r="T22" s="15" t="s">
        <v>172</v>
      </c>
      <c r="U22" s="15" t="n">
        <f aca="false">SUM(BV6,BV7,BV8,BV9,BV10)</f>
        <v>5</v>
      </c>
      <c r="X22" s="15" t="n">
        <f aca="false">IF(OR(LEN(TRIM(C22))&gt;0,COUNT(E22:H22)&gt;0),1,0)</f>
        <v>0</v>
      </c>
      <c r="Y22" s="15" t="n">
        <f aca="false">IF(LEN(TRIM(D22))&gt;0,1,0)</f>
        <v>0</v>
      </c>
      <c r="Z22" s="15" t="n">
        <f aca="false">Y22*SUM(E22:H22)</f>
        <v>0</v>
      </c>
      <c r="AA22" s="15" t="n">
        <f aca="false">Y22*COUNT(E22:H22)</f>
        <v>0</v>
      </c>
      <c r="AB22" s="15" t="n">
        <f aca="false">Y22*COUNTIF(E22:H22,"&lt;5")</f>
        <v>0</v>
      </c>
      <c r="AC22" s="15" t="n">
        <f aca="false">Y22*COUNTIF(E22:H22,0)</f>
        <v>0</v>
      </c>
      <c r="AD22" s="15" t="n">
        <f aca="false">Y22*(SUM(E22:H22)+X22*$U$2*(4-COUNT(E22:H22)))</f>
        <v>0</v>
      </c>
      <c r="AE22" s="15" t="n">
        <f aca="false">Y22*(COUNT(E22:H22)+X22*(4-COUNT(E22:H22)))</f>
        <v>0</v>
      </c>
      <c r="AF22" s="15" t="n">
        <f aca="false">Y22*(COUNTIF(E22:H22,"&lt;5")+X22*IF($U$2&lt;5,1,0)*(4-COUNT(E22:H22)))</f>
        <v>0</v>
      </c>
      <c r="AH22" s="15" t="str">
        <f aca="false">IF(Y22=1,"",IF(ISNUMBER(E22),IF(E22=0,"",E22),""))</f>
        <v/>
      </c>
      <c r="AI22" s="15" t="str">
        <f aca="false">IF(Y22=1,"",IF(ISNUMBER(F22),IF(F22=0,"",F22),""))</f>
        <v/>
      </c>
      <c r="AJ22" s="15" t="str">
        <f aca="false">IF(Y22=1,"",IF(ISNUMBER(G22),IF(G22=0,"",G22),""))</f>
        <v/>
      </c>
      <c r="AK22" s="15" t="str">
        <f aca="false">IF(Y22=1,"",IF(ISNUMBER(H22),IF(H22=0,"",H22),""))</f>
        <v/>
      </c>
      <c r="AM22" s="15" t="str">
        <f aca="false">IF(Y22=1,"",IF(ISNUMBER(E22),IF(E22=0,"",E22),IF(X22=1,$U$2,"")))</f>
        <v/>
      </c>
      <c r="AN22" s="15" t="str">
        <f aca="false">IF(Y22=1,"",IF(ISNUMBER(F22),IF(F22=0,"",F22),IF(X22=1,$U$2,"")))</f>
        <v/>
      </c>
      <c r="AO22" s="15" t="str">
        <f aca="false">IF(Y22=1,"",IF(ISNUMBER(G22),IF(G22=0,"",G22),IF(X22=1,$U$2,"")))</f>
        <v/>
      </c>
      <c r="AP22" s="15" t="str">
        <f aca="false">IF(Y22=1,"",IF(ISNUMBER(H22),IF(H22=0,"",H22),IF(X22=1,$U$2,"")))</f>
        <v/>
      </c>
      <c r="AR22" s="15" t="n">
        <f aca="false">IF(Y22=1,IF(ISNUMBER(E22),1,0),IF(AH22="",0,IF(IF($U$35=1,COUNTIF($AH$6:$AK$25,"&gt;"&amp;AH22),COUNTIF($AM$6:$AP$25,"&gt;"&amp;AH22))+COUNTIF($AH$6:$AK$21,AH22)+1&lt;=$U$45,1,0)))</f>
        <v>0</v>
      </c>
      <c r="AS22" s="15" t="n">
        <f aca="false">IF(Y22=1,IF(ISNUMBER(F22),1,0),IF(AI22="",0,IF(IF($U$35=1,COUNTIF($AH$6:$AK$25,"&gt;"&amp;AI22),COUNTIF($AM$6:$AP$25,"&gt;"&amp;AI22))+COUNTIF($AH$6:$AK$21,AI22)+COUNTIF($AH22:AH22,AI22)+1&lt;=$U$45,1,0)))</f>
        <v>0</v>
      </c>
      <c r="AT22" s="15" t="n">
        <f aca="false">IF(Y22=1,IF(ISNUMBER(G22),1,0),IF(AJ22="",0,IF(IF($U$35=1,COUNTIF($AH$6:$AK$25,"&gt;"&amp;AJ22),COUNTIF($AM$6:$AP$25,"&gt;"&amp;AJ22))+COUNTIF($AH$6:$AK$21,AJ22)+COUNTIF($AH22:AI22,AJ22)+1&lt;=$U$45,1,0)))</f>
        <v>0</v>
      </c>
      <c r="AU22" s="15" t="n">
        <f aca="false">IF(Y22=1,IF(ISNUMBER(H22),1,0),IF(AK22="",0,IF(IF($U$35=1,COUNTIF($AH$6:$AK$25,"&gt;"&amp;AK22),COUNTIF($AM$6:$AP$25,"&gt;"&amp;AK22))+COUNTIF($AH$6:$AK$21,AK22)+COUNTIF($AH22:AJ22,AK22)+1&lt;=$U$45,1,0)))</f>
        <v>0</v>
      </c>
      <c r="BZ22" s="15" t="n">
        <f aca="false">IFERROR(LARGE($AH$6:$AK$25,21),0)</f>
        <v>0</v>
      </c>
      <c r="CA22" s="15" t="n">
        <f aca="false">CA21+BZ22</f>
        <v>0</v>
      </c>
      <c r="CB22" s="15" t="n">
        <f aca="false">IFERROR(LARGE($AM$6:$AP$25,21),0)</f>
        <v>0</v>
      </c>
      <c r="CC22" s="15" t="n">
        <f aca="false">CC21+CB22</f>
        <v>0</v>
      </c>
      <c r="CE22" s="15" t="s">
        <v>41</v>
      </c>
      <c r="CF22" s="15" t="s">
        <v>42</v>
      </c>
      <c r="CG22" s="15" t="s">
        <v>43</v>
      </c>
      <c r="CH22" s="15" t="s">
        <v>44</v>
      </c>
      <c r="CI22" s="15" t="s">
        <v>45</v>
      </c>
      <c r="CJ22" s="15" t="s">
        <v>46</v>
      </c>
      <c r="CK22" s="15" t="s">
        <v>47</v>
      </c>
      <c r="CL22" s="15" t="s">
        <v>48</v>
      </c>
      <c r="CM22" s="15" t="s">
        <v>49</v>
      </c>
      <c r="CN22" s="15" t="s">
        <v>50</v>
      </c>
      <c r="CO22" s="15" t="s">
        <v>51</v>
      </c>
      <c r="CP22" s="15" t="s">
        <v>52</v>
      </c>
      <c r="CQ22" s="15" t="s">
        <v>53</v>
      </c>
      <c r="CR22" s="15" t="s">
        <v>54</v>
      </c>
      <c r="CS22" s="15" t="s">
        <v>55</v>
      </c>
      <c r="CT22" s="15" t="s">
        <v>56</v>
      </c>
      <c r="CU22" s="15" t="s">
        <v>57</v>
      </c>
      <c r="CV22" s="15" t="s">
        <v>58</v>
      </c>
      <c r="CW22" s="15" t="s">
        <v>59</v>
      </c>
      <c r="CX22" s="15" t="s">
        <v>60</v>
      </c>
      <c r="CY22" s="15" t="s">
        <v>61</v>
      </c>
      <c r="CZ22" s="15" t="s">
        <v>62</v>
      </c>
      <c r="DA22" s="15" t="s">
        <v>63</v>
      </c>
      <c r="DB22" s="15" t="s">
        <v>64</v>
      </c>
      <c r="DC22" s="15" t="s">
        <v>65</v>
      </c>
      <c r="DD22" s="15" t="s">
        <v>66</v>
      </c>
      <c r="DE22" s="15" t="s">
        <v>67</v>
      </c>
      <c r="DF22" s="15" t="s">
        <v>68</v>
      </c>
      <c r="DG22" s="15" t="s">
        <v>69</v>
      </c>
      <c r="DH22" s="15" t="s">
        <v>70</v>
      </c>
    </row>
    <row r="23" customFormat="false" ht="15" hidden="false" customHeight="false" outlineLevel="0" collapsed="false">
      <c r="B23" s="36" t="s">
        <v>173</v>
      </c>
      <c r="C23" s="37"/>
      <c r="D23" s="38"/>
      <c r="E23" s="24"/>
      <c r="F23" s="24"/>
      <c r="G23" s="24"/>
      <c r="H23" s="24"/>
      <c r="I23" s="39"/>
      <c r="J23" s="39"/>
      <c r="L23" s="42" t="s">
        <v>174</v>
      </c>
      <c r="M23" s="43" t="str">
        <f aca="false">IF($U$4=0,"",IF($U$61=1,"✓ erfüllt","✗ nicht erfüllt"))</f>
        <v/>
      </c>
      <c r="N23" s="36" t="str">
        <f aca="false">IF($U$4=0,"",$U$59&amp;" Punkte")</f>
        <v/>
      </c>
      <c r="T23" s="15" t="s">
        <v>175</v>
      </c>
      <c r="U23" s="15" t="n">
        <f aca="false">0</f>
        <v>0</v>
      </c>
      <c r="X23" s="15" t="n">
        <f aca="false">IF(OR(LEN(TRIM(C23))&gt;0,COUNT(E23:H23)&gt;0),1,0)</f>
        <v>0</v>
      </c>
      <c r="Y23" s="15" t="n">
        <f aca="false">IF(LEN(TRIM(D23))&gt;0,1,0)</f>
        <v>0</v>
      </c>
      <c r="Z23" s="15" t="n">
        <f aca="false">Y23*SUM(E23:H23)</f>
        <v>0</v>
      </c>
      <c r="AA23" s="15" t="n">
        <f aca="false">Y23*COUNT(E23:H23)</f>
        <v>0</v>
      </c>
      <c r="AB23" s="15" t="n">
        <f aca="false">Y23*COUNTIF(E23:H23,"&lt;5")</f>
        <v>0</v>
      </c>
      <c r="AC23" s="15" t="n">
        <f aca="false">Y23*COUNTIF(E23:H23,0)</f>
        <v>0</v>
      </c>
      <c r="AD23" s="15" t="n">
        <f aca="false">Y23*(SUM(E23:H23)+X23*$U$2*(4-COUNT(E23:H23)))</f>
        <v>0</v>
      </c>
      <c r="AE23" s="15" t="n">
        <f aca="false">Y23*(COUNT(E23:H23)+X23*(4-COUNT(E23:H23)))</f>
        <v>0</v>
      </c>
      <c r="AF23" s="15" t="n">
        <f aca="false">Y23*(COUNTIF(E23:H23,"&lt;5")+X23*IF($U$2&lt;5,1,0)*(4-COUNT(E23:H23)))</f>
        <v>0</v>
      </c>
      <c r="AH23" s="15" t="str">
        <f aca="false">IF(Y23=1,"",IF(ISNUMBER(E23),IF(E23=0,"",E23),""))</f>
        <v/>
      </c>
      <c r="AI23" s="15" t="str">
        <f aca="false">IF(Y23=1,"",IF(ISNUMBER(F23),IF(F23=0,"",F23),""))</f>
        <v/>
      </c>
      <c r="AJ23" s="15" t="str">
        <f aca="false">IF(Y23=1,"",IF(ISNUMBER(G23),IF(G23=0,"",G23),""))</f>
        <v/>
      </c>
      <c r="AK23" s="15" t="str">
        <f aca="false">IF(Y23=1,"",IF(ISNUMBER(H23),IF(H23=0,"",H23),""))</f>
        <v/>
      </c>
      <c r="AM23" s="15" t="str">
        <f aca="false">IF(Y23=1,"",IF(ISNUMBER(E23),IF(E23=0,"",E23),IF(X23=1,$U$2,"")))</f>
        <v/>
      </c>
      <c r="AN23" s="15" t="str">
        <f aca="false">IF(Y23=1,"",IF(ISNUMBER(F23),IF(F23=0,"",F23),IF(X23=1,$U$2,"")))</f>
        <v/>
      </c>
      <c r="AO23" s="15" t="str">
        <f aca="false">IF(Y23=1,"",IF(ISNUMBER(G23),IF(G23=0,"",G23),IF(X23=1,$U$2,"")))</f>
        <v/>
      </c>
      <c r="AP23" s="15" t="str">
        <f aca="false">IF(Y23=1,"",IF(ISNUMBER(H23),IF(H23=0,"",H23),IF(X23=1,$U$2,"")))</f>
        <v/>
      </c>
      <c r="AR23" s="15" t="n">
        <f aca="false">IF(Y23=1,IF(ISNUMBER(E23),1,0),IF(AH23="",0,IF(IF($U$35=1,COUNTIF($AH$6:$AK$25,"&gt;"&amp;AH23),COUNTIF($AM$6:$AP$25,"&gt;"&amp;AH23))+COUNTIF($AH$6:$AK$22,AH23)+1&lt;=$U$45,1,0)))</f>
        <v>0</v>
      </c>
      <c r="AS23" s="15" t="n">
        <f aca="false">IF(Y23=1,IF(ISNUMBER(F23),1,0),IF(AI23="",0,IF(IF($U$35=1,COUNTIF($AH$6:$AK$25,"&gt;"&amp;AI23),COUNTIF($AM$6:$AP$25,"&gt;"&amp;AI23))+COUNTIF($AH$6:$AK$22,AI23)+COUNTIF($AH23:AH23,AI23)+1&lt;=$U$45,1,0)))</f>
        <v>0</v>
      </c>
      <c r="AT23" s="15" t="n">
        <f aca="false">IF(Y23=1,IF(ISNUMBER(G23),1,0),IF(AJ23="",0,IF(IF($U$35=1,COUNTIF($AH$6:$AK$25,"&gt;"&amp;AJ23),COUNTIF($AM$6:$AP$25,"&gt;"&amp;AJ23))+COUNTIF($AH$6:$AK$22,AJ23)+COUNTIF($AH23:AI23,AJ23)+1&lt;=$U$45,1,0)))</f>
        <v>0</v>
      </c>
      <c r="AU23" s="15" t="n">
        <f aca="false">IF(Y23=1,IF(ISNUMBER(H23),1,0),IF(AK23="",0,IF(IF($U$35=1,COUNTIF($AH$6:$AK$25,"&gt;"&amp;AK23),COUNTIF($AM$6:$AP$25,"&gt;"&amp;AK23))+COUNTIF($AH$6:$AK$22,AK23)+COUNTIF($AH23:AJ23,AK23)+1&lt;=$U$45,1,0)))</f>
        <v>0</v>
      </c>
      <c r="BZ23" s="15" t="n">
        <f aca="false">IFERROR(LARGE($AH$6:$AK$25,22),0)</f>
        <v>0</v>
      </c>
      <c r="CA23" s="15" t="n">
        <f aca="false">CA22+BZ23</f>
        <v>0</v>
      </c>
      <c r="CB23" s="15" t="n">
        <f aca="false">IFERROR(LARGE($AM$6:$AP$25,22),0)</f>
        <v>0</v>
      </c>
      <c r="CC23" s="15" t="n">
        <f aca="false">CC22+CB23</f>
        <v>0</v>
      </c>
      <c r="CE23" s="15" t="n">
        <f aca="false">36</f>
        <v>36</v>
      </c>
      <c r="CF23" s="15" t="n">
        <f aca="false">CE23-$V$5-$V$6-0</f>
        <v>16</v>
      </c>
      <c r="CG23" s="15" t="n">
        <f aca="false">MAX(0,CF23)</f>
        <v>16</v>
      </c>
      <c r="CH23" s="15" t="n">
        <f aca="false">MIN(CG23,$V$7)</f>
        <v>0</v>
      </c>
      <c r="CI23" s="15" t="n">
        <f aca="false">0</f>
        <v>0</v>
      </c>
      <c r="CJ23" s="15" t="n">
        <f aca="false">CG23-CH23</f>
        <v>16</v>
      </c>
      <c r="CK23" s="15" t="n">
        <f aca="false">$V$5+CH23+CJ23</f>
        <v>36</v>
      </c>
      <c r="CL23" s="15" t="n">
        <f aca="false">1*BE6+1*BF6+1*BE7+1*BF7+1*BE8+1*BF8</f>
        <v>84</v>
      </c>
      <c r="CM23" s="15" t="n">
        <f aca="false">1*BG6+1*BH6+1*BG7+1*BH7+1*BG8+1*BH8+1*BG9+1*BH9+1*BG10+1*BH10+SUM($AE$12:$AE$25)</f>
        <v>20</v>
      </c>
      <c r="CN23" s="15" t="n">
        <f aca="false">IF(CH23=0,0,INDEX($CC$2:$CC$57,CH23))</f>
        <v>0</v>
      </c>
      <c r="CO23" s="15" t="n">
        <f aca="false">CL23+$V$11+CN23+CJ23*$U$2</f>
        <v>252</v>
      </c>
      <c r="CP23" s="15" t="n">
        <f aca="false">CM23+CH23+CJ23</f>
        <v>36</v>
      </c>
      <c r="CQ23" s="15" t="n">
        <f aca="false">IF(CP23&gt;0,MIN(600,INT((CO23/CP23*40)+0.5+0.000000001)),0)</f>
        <v>280</v>
      </c>
      <c r="CR23" s="15" t="n">
        <f aca="false">$V$9+CT23</f>
        <v>0</v>
      </c>
      <c r="CS23" s="15" t="n">
        <f aca="false">7</f>
        <v>7</v>
      </c>
      <c r="CT23" s="15" t="n">
        <f aca="false">$V$10+MAX(0,CH23-$V$8)+CJ23*IF($U$2&lt;5,1,0)</f>
        <v>0</v>
      </c>
      <c r="CU23" s="15" t="n">
        <f aca="false">$V$11+CN23+CJ23*$U$2</f>
        <v>168</v>
      </c>
      <c r="CV23" s="15" t="n">
        <f aca="false">IF(CQ23&gt;=200,1,0)</f>
        <v>1</v>
      </c>
      <c r="CW23" s="15" t="n">
        <f aca="false">IF(CR23&lt;=CS23,1,0)</f>
        <v>1</v>
      </c>
      <c r="CX23" s="15" t="n">
        <f aca="false">1</f>
        <v>1</v>
      </c>
      <c r="CY23" s="15" t="n">
        <f aca="false">1</f>
        <v>1</v>
      </c>
      <c r="CZ23" s="15" t="n">
        <f aca="false">1</f>
        <v>1</v>
      </c>
      <c r="DA23" s="15" t="n">
        <f aca="false">1</f>
        <v>1</v>
      </c>
      <c r="DB23" s="15" t="n">
        <f aca="false">IF($U$12=0,1,0)</f>
        <v>1</v>
      </c>
      <c r="DC23" s="15" t="n">
        <f aca="false">1</f>
        <v>1</v>
      </c>
      <c r="DD23" s="15" t="n">
        <f aca="false">1</f>
        <v>1</v>
      </c>
      <c r="DE23" s="15" t="n">
        <f aca="false">IF(CF23&lt;0,0,1)</f>
        <v>1</v>
      </c>
      <c r="DF23" s="15" t="n">
        <f aca="false">IF(CV23*CW23*CX23*CY23*CZ23*DA23*DB23*DC23*DD23*DE23=1,1,0)</f>
        <v>1</v>
      </c>
      <c r="DG23" s="15" t="n">
        <f aca="false">$V$6+CI23</f>
        <v>0</v>
      </c>
      <c r="DH23" s="15" t="n">
        <f aca="false">DF23*1000000+CQ23*100+(100-CK23)</f>
        <v>1028064</v>
      </c>
    </row>
    <row r="24" customFormat="false" ht="15" hidden="false" customHeight="false" outlineLevel="0" collapsed="false">
      <c r="B24" s="36" t="s">
        <v>176</v>
      </c>
      <c r="C24" s="37"/>
      <c r="D24" s="38"/>
      <c r="E24" s="24"/>
      <c r="F24" s="24"/>
      <c r="G24" s="24"/>
      <c r="H24" s="24"/>
      <c r="I24" s="39"/>
      <c r="J24" s="39"/>
      <c r="L24" s="42" t="str">
        <f aca="false">"In mindestens "&amp;$U$26&amp;" Prüfungen mindestens 5 Punkte (einfach)"</f>
        <v>In mindestens 3 Prüfungen mindestens 5 Punkte (einfach)</v>
      </c>
      <c r="M24" s="43" t="str">
        <f aca="false">IF($U$4=0,"",IF($U$62=1,"✓ erfüllt","✗ nicht erfüllt"))</f>
        <v/>
      </c>
      <c r="N24" s="36" t="str">
        <f aca="false">IF($U$4=0,"",$U$60&amp;" Prüfungen")</f>
        <v/>
      </c>
      <c r="T24" s="15" t="s">
        <v>177</v>
      </c>
      <c r="U24" s="15" t="n">
        <f aca="false">BW6+BW7+BW8+BW9+BW10</f>
        <v>0</v>
      </c>
      <c r="X24" s="15" t="n">
        <f aca="false">IF(OR(LEN(TRIM(C24))&gt;0,COUNT(E24:H24)&gt;0),1,0)</f>
        <v>0</v>
      </c>
      <c r="Y24" s="15" t="n">
        <f aca="false">IF(LEN(TRIM(D24))&gt;0,1,0)</f>
        <v>0</v>
      </c>
      <c r="Z24" s="15" t="n">
        <f aca="false">Y24*SUM(E24:H24)</f>
        <v>0</v>
      </c>
      <c r="AA24" s="15" t="n">
        <f aca="false">Y24*COUNT(E24:H24)</f>
        <v>0</v>
      </c>
      <c r="AB24" s="15" t="n">
        <f aca="false">Y24*COUNTIF(E24:H24,"&lt;5")</f>
        <v>0</v>
      </c>
      <c r="AC24" s="15" t="n">
        <f aca="false">Y24*COUNTIF(E24:H24,0)</f>
        <v>0</v>
      </c>
      <c r="AD24" s="15" t="n">
        <f aca="false">Y24*(SUM(E24:H24)+X24*$U$2*(4-COUNT(E24:H24)))</f>
        <v>0</v>
      </c>
      <c r="AE24" s="15" t="n">
        <f aca="false">Y24*(COUNT(E24:H24)+X24*(4-COUNT(E24:H24)))</f>
        <v>0</v>
      </c>
      <c r="AF24" s="15" t="n">
        <f aca="false">Y24*(COUNTIF(E24:H24,"&lt;5")+X24*IF($U$2&lt;5,1,0)*(4-COUNT(E24:H24)))</f>
        <v>0</v>
      </c>
      <c r="AH24" s="15" t="str">
        <f aca="false">IF(Y24=1,"",IF(ISNUMBER(E24),IF(E24=0,"",E24),""))</f>
        <v/>
      </c>
      <c r="AI24" s="15" t="str">
        <f aca="false">IF(Y24=1,"",IF(ISNUMBER(F24),IF(F24=0,"",F24),""))</f>
        <v/>
      </c>
      <c r="AJ24" s="15" t="str">
        <f aca="false">IF(Y24=1,"",IF(ISNUMBER(G24),IF(G24=0,"",G24),""))</f>
        <v/>
      </c>
      <c r="AK24" s="15" t="str">
        <f aca="false">IF(Y24=1,"",IF(ISNUMBER(H24),IF(H24=0,"",H24),""))</f>
        <v/>
      </c>
      <c r="AM24" s="15" t="str">
        <f aca="false">IF(Y24=1,"",IF(ISNUMBER(E24),IF(E24=0,"",E24),IF(X24=1,$U$2,"")))</f>
        <v/>
      </c>
      <c r="AN24" s="15" t="str">
        <f aca="false">IF(Y24=1,"",IF(ISNUMBER(F24),IF(F24=0,"",F24),IF(X24=1,$U$2,"")))</f>
        <v/>
      </c>
      <c r="AO24" s="15" t="str">
        <f aca="false">IF(Y24=1,"",IF(ISNUMBER(G24),IF(G24=0,"",G24),IF(X24=1,$U$2,"")))</f>
        <v/>
      </c>
      <c r="AP24" s="15" t="str">
        <f aca="false">IF(Y24=1,"",IF(ISNUMBER(H24),IF(H24=0,"",H24),IF(X24=1,$U$2,"")))</f>
        <v/>
      </c>
      <c r="AR24" s="15" t="n">
        <f aca="false">IF(Y24=1,IF(ISNUMBER(E24),1,0),IF(AH24="",0,IF(IF($U$35=1,COUNTIF($AH$6:$AK$25,"&gt;"&amp;AH24),COUNTIF($AM$6:$AP$25,"&gt;"&amp;AH24))+COUNTIF($AH$6:$AK$23,AH24)+1&lt;=$U$45,1,0)))</f>
        <v>0</v>
      </c>
      <c r="AS24" s="15" t="n">
        <f aca="false">IF(Y24=1,IF(ISNUMBER(F24),1,0),IF(AI24="",0,IF(IF($U$35=1,COUNTIF($AH$6:$AK$25,"&gt;"&amp;AI24),COUNTIF($AM$6:$AP$25,"&gt;"&amp;AI24))+COUNTIF($AH$6:$AK$23,AI24)+COUNTIF($AH24:AH24,AI24)+1&lt;=$U$45,1,0)))</f>
        <v>0</v>
      </c>
      <c r="AT24" s="15" t="n">
        <f aca="false">IF(Y24=1,IF(ISNUMBER(G24),1,0),IF(AJ24="",0,IF(IF($U$35=1,COUNTIF($AH$6:$AK$25,"&gt;"&amp;AJ24),COUNTIF($AM$6:$AP$25,"&gt;"&amp;AJ24))+COUNTIF($AH$6:$AK$23,AJ24)+COUNTIF($AH24:AI24,AJ24)+1&lt;=$U$45,1,0)))</f>
        <v>0</v>
      </c>
      <c r="AU24" s="15" t="n">
        <f aca="false">IF(Y24=1,IF(ISNUMBER(H24),1,0),IF(AK24="",0,IF(IF($U$35=1,COUNTIF($AH$6:$AK$25,"&gt;"&amp;AK24),COUNTIF($AM$6:$AP$25,"&gt;"&amp;AK24))+COUNTIF($AH$6:$AK$23,AK24)+COUNTIF($AH24:AJ24,AK24)+1&lt;=$U$45,1,0)))</f>
        <v>0</v>
      </c>
      <c r="BZ24" s="15" t="n">
        <f aca="false">IFERROR(LARGE($AH$6:$AK$25,23),0)</f>
        <v>0</v>
      </c>
      <c r="CA24" s="15" t="n">
        <f aca="false">CA23+BZ24</f>
        <v>0</v>
      </c>
      <c r="CB24" s="15" t="n">
        <f aca="false">IFERROR(LARGE($AM$6:$AP$25,23),0)</f>
        <v>0</v>
      </c>
      <c r="CC24" s="15" t="n">
        <f aca="false">CC23+CB24</f>
        <v>0</v>
      </c>
    </row>
    <row r="25" customFormat="false" ht="15" hidden="false" customHeight="false" outlineLevel="0" collapsed="false">
      <c r="B25" s="36" t="s">
        <v>178</v>
      </c>
      <c r="C25" s="37"/>
      <c r="D25" s="38"/>
      <c r="E25" s="24"/>
      <c r="F25" s="24"/>
      <c r="G25" s="24"/>
      <c r="H25" s="24"/>
      <c r="I25" s="39"/>
      <c r="J25" s="39"/>
      <c r="L25" s="42" t="s">
        <v>179</v>
      </c>
      <c r="M25" s="43" t="str">
        <f aca="false">IF($U$4=0,"",IF($U$65=1,"✓ erfüllt","✗ nicht erfüllt"))</f>
        <v/>
      </c>
      <c r="N25" s="36" t="str">
        <f aca="false">IF($U$4=0,"",$U$64&amp;" Punkte")</f>
        <v/>
      </c>
      <c r="T25" s="15" t="s">
        <v>180</v>
      </c>
      <c r="U25" s="15" t="n">
        <f aca="false">BX6+BX7+BX8+BX9+BX10</f>
        <v>0</v>
      </c>
      <c r="X25" s="15" t="n">
        <f aca="false">IF(OR(LEN(TRIM(C25))&gt;0,COUNT(E25:H25)&gt;0),1,0)</f>
        <v>0</v>
      </c>
      <c r="Y25" s="15" t="n">
        <f aca="false">IF(LEN(TRIM(D25))&gt;0,1,0)</f>
        <v>0</v>
      </c>
      <c r="Z25" s="15" t="n">
        <f aca="false">Y25*SUM(E25:H25)</f>
        <v>0</v>
      </c>
      <c r="AA25" s="15" t="n">
        <f aca="false">Y25*COUNT(E25:H25)</f>
        <v>0</v>
      </c>
      <c r="AB25" s="15" t="n">
        <f aca="false">Y25*COUNTIF(E25:H25,"&lt;5")</f>
        <v>0</v>
      </c>
      <c r="AC25" s="15" t="n">
        <f aca="false">Y25*COUNTIF(E25:H25,0)</f>
        <v>0</v>
      </c>
      <c r="AD25" s="15" t="n">
        <f aca="false">Y25*(SUM(E25:H25)+X25*$U$2*(4-COUNT(E25:H25)))</f>
        <v>0</v>
      </c>
      <c r="AE25" s="15" t="n">
        <f aca="false">Y25*(COUNT(E25:H25)+X25*(4-COUNT(E25:H25)))</f>
        <v>0</v>
      </c>
      <c r="AF25" s="15" t="n">
        <f aca="false">Y25*(COUNTIF(E25:H25,"&lt;5")+X25*IF($U$2&lt;5,1,0)*(4-COUNT(E25:H25)))</f>
        <v>0</v>
      </c>
      <c r="AH25" s="15" t="str">
        <f aca="false">IF(Y25=1,"",IF(ISNUMBER(E25),IF(E25=0,"",E25),""))</f>
        <v/>
      </c>
      <c r="AI25" s="15" t="str">
        <f aca="false">IF(Y25=1,"",IF(ISNUMBER(F25),IF(F25=0,"",F25),""))</f>
        <v/>
      </c>
      <c r="AJ25" s="15" t="str">
        <f aca="false">IF(Y25=1,"",IF(ISNUMBER(G25),IF(G25=0,"",G25),""))</f>
        <v/>
      </c>
      <c r="AK25" s="15" t="str">
        <f aca="false">IF(Y25=1,"",IF(ISNUMBER(H25),IF(H25=0,"",H25),""))</f>
        <v/>
      </c>
      <c r="AM25" s="15" t="str">
        <f aca="false">IF(Y25=1,"",IF(ISNUMBER(E25),IF(E25=0,"",E25),IF(X25=1,$U$2,"")))</f>
        <v/>
      </c>
      <c r="AN25" s="15" t="str">
        <f aca="false">IF(Y25=1,"",IF(ISNUMBER(F25),IF(F25=0,"",F25),IF(X25=1,$U$2,"")))</f>
        <v/>
      </c>
      <c r="AO25" s="15" t="str">
        <f aca="false">IF(Y25=1,"",IF(ISNUMBER(G25),IF(G25=0,"",G25),IF(X25=1,$U$2,"")))</f>
        <v/>
      </c>
      <c r="AP25" s="15" t="str">
        <f aca="false">IF(Y25=1,"",IF(ISNUMBER(H25),IF(H25=0,"",H25),IF(X25=1,$U$2,"")))</f>
        <v/>
      </c>
      <c r="AR25" s="15" t="n">
        <f aca="false">IF(Y25=1,IF(ISNUMBER(E25),1,0),IF(AH25="",0,IF(IF($U$35=1,COUNTIF($AH$6:$AK$25,"&gt;"&amp;AH25),COUNTIF($AM$6:$AP$25,"&gt;"&amp;AH25))+COUNTIF($AH$6:$AK$24,AH25)+1&lt;=$U$45,1,0)))</f>
        <v>0</v>
      </c>
      <c r="AS25" s="15" t="n">
        <f aca="false">IF(Y25=1,IF(ISNUMBER(F25),1,0),IF(AI25="",0,IF(IF($U$35=1,COUNTIF($AH$6:$AK$25,"&gt;"&amp;AI25),COUNTIF($AM$6:$AP$25,"&gt;"&amp;AI25))+COUNTIF($AH$6:$AK$24,AI25)+COUNTIF($AH25:AH25,AI25)+1&lt;=$U$45,1,0)))</f>
        <v>0</v>
      </c>
      <c r="AT25" s="15" t="n">
        <f aca="false">IF(Y25=1,IF(ISNUMBER(G25),1,0),IF(AJ25="",0,IF(IF($U$35=1,COUNTIF($AH$6:$AK$25,"&gt;"&amp;AJ25),COUNTIF($AM$6:$AP$25,"&gt;"&amp;AJ25))+COUNTIF($AH$6:$AK$24,AJ25)+COUNTIF($AH25:AI25,AJ25)+1&lt;=$U$45,1,0)))</f>
        <v>0</v>
      </c>
      <c r="AU25" s="15" t="n">
        <f aca="false">IF(Y25=1,IF(ISNUMBER(H25),1,0),IF(AK25="",0,IF(IF($U$35=1,COUNTIF($AH$6:$AK$25,"&gt;"&amp;AK25),COUNTIF($AM$6:$AP$25,"&gt;"&amp;AK25))+COUNTIF($AH$6:$AK$24,AK25)+COUNTIF($AH25:AJ25,AK25)+1&lt;=$U$45,1,0)))</f>
        <v>0</v>
      </c>
      <c r="BZ25" s="15" t="n">
        <f aca="false">IFERROR(LARGE($AH$6:$AK$25,24),0)</f>
        <v>0</v>
      </c>
      <c r="CA25" s="15" t="n">
        <f aca="false">CA24+BZ25</f>
        <v>0</v>
      </c>
      <c r="CB25" s="15" t="n">
        <f aca="false">IFERROR(LARGE($AM$6:$AP$25,24),0)</f>
        <v>0</v>
      </c>
      <c r="CC25" s="15" t="n">
        <f aca="false">CC24+CB25</f>
        <v>0</v>
      </c>
    </row>
    <row r="26" customFormat="false" ht="15" hidden="false" customHeight="false" outlineLevel="0" collapsed="false">
      <c r="T26" s="15" t="s">
        <v>181</v>
      </c>
      <c r="U26" s="15" t="n">
        <f aca="false">3</f>
        <v>3</v>
      </c>
      <c r="BZ26" s="15" t="n">
        <f aca="false">IFERROR(LARGE($AH$6:$AK$25,25),0)</f>
        <v>0</v>
      </c>
      <c r="CA26" s="15" t="n">
        <f aca="false">CA25+BZ26</f>
        <v>0</v>
      </c>
      <c r="CB26" s="15" t="n">
        <f aca="false">IFERROR(LARGE($AM$6:$AP$25,25),0)</f>
        <v>0</v>
      </c>
      <c r="CC26" s="15" t="n">
        <f aca="false">CC25+CB26</f>
        <v>0</v>
      </c>
    </row>
    <row r="27" customFormat="false" ht="15" hidden="false" customHeight="false" outlineLevel="0" collapsed="false">
      <c r="L27" s="44" t="s">
        <v>182</v>
      </c>
      <c r="T27" s="15" t="s">
        <v>183</v>
      </c>
      <c r="U27" s="15" t="n">
        <f aca="false">IF(ISNUMBER($I$6),0,1)+IF(ISNUMBER($I$7),0,1)+IF(ISNUMBER($I$8),0,1)+IF(ISNUMBER($I$9),0,1)+IF(ISNUMBER($I$10),0,1)</f>
        <v>5</v>
      </c>
      <c r="BZ27" s="15" t="n">
        <f aca="false">IFERROR(LARGE($AH$6:$AK$25,26),0)</f>
        <v>0</v>
      </c>
      <c r="CA27" s="15" t="n">
        <f aca="false">CA26+BZ27</f>
        <v>0</v>
      </c>
      <c r="CB27" s="15" t="n">
        <f aca="false">IFERROR(LARGE($AM$6:$AP$25,26),0)</f>
        <v>0</v>
      </c>
      <c r="CC27" s="15" t="n">
        <f aca="false">CC26+CB27</f>
        <v>0</v>
      </c>
    </row>
    <row r="28" customFormat="false" ht="15" hidden="false" customHeight="false" outlineLevel="0" collapsed="false">
      <c r="B28" s="5" t="s">
        <v>184</v>
      </c>
      <c r="L28" s="8" t="s">
        <v>185</v>
      </c>
      <c r="T28" s="15" t="s">
        <v>186</v>
      </c>
      <c r="U28" s="15" t="n">
        <f aca="false">IF($U$16&gt;=100,1,0)</f>
        <v>0</v>
      </c>
      <c r="BZ28" s="15" t="n">
        <f aca="false">IFERROR(LARGE($AH$6:$AK$25,27),0)</f>
        <v>0</v>
      </c>
      <c r="CA28" s="15" t="n">
        <f aca="false">CA27+BZ28</f>
        <v>0</v>
      </c>
      <c r="CB28" s="15" t="n">
        <f aca="false">IFERROR(LARGE($AM$6:$AP$25,27),0)</f>
        <v>0</v>
      </c>
      <c r="CC28" s="15" t="n">
        <f aca="false">CC27+CB28</f>
        <v>0</v>
      </c>
    </row>
    <row r="29" customFormat="false" ht="15" hidden="false" customHeight="false" outlineLevel="0" collapsed="false">
      <c r="B29" s="12" t="s">
        <v>187</v>
      </c>
      <c r="L29" s="45" t="s">
        <v>188</v>
      </c>
      <c r="T29" s="15" t="s">
        <v>189</v>
      </c>
      <c r="U29" s="15" t="n">
        <f aca="false">IF(AND($U$17&gt;=$U$26,$U$18&gt;=0),1,0)</f>
        <v>0</v>
      </c>
      <c r="BZ29" s="15" t="n">
        <f aca="false">IFERROR(LARGE($AH$6:$AK$25,28),0)</f>
        <v>0</v>
      </c>
      <c r="CA29" s="15" t="n">
        <f aca="false">CA28+BZ29</f>
        <v>0</v>
      </c>
      <c r="CB29" s="15" t="n">
        <f aca="false">IFERROR(LARGE($AM$6:$AP$25,28),0)</f>
        <v>0</v>
      </c>
      <c r="CC29" s="15" t="n">
        <f aca="false">CC28+CB29</f>
        <v>0</v>
      </c>
    </row>
    <row r="30" customFormat="false" ht="15" hidden="false" customHeight="false" outlineLevel="0" collapsed="false">
      <c r="B30" s="12" t="s">
        <v>190</v>
      </c>
      <c r="L30" s="46" t="s">
        <v>191</v>
      </c>
      <c r="T30" s="15" t="s">
        <v>192</v>
      </c>
      <c r="U30" s="15" t="n">
        <f aca="false">$U$28*$U$29</f>
        <v>0</v>
      </c>
      <c r="BZ30" s="15" t="n">
        <f aca="false">IFERROR(LARGE($AH$6:$AK$25,29),0)</f>
        <v>0</v>
      </c>
      <c r="CA30" s="15" t="n">
        <f aca="false">CA29+BZ30</f>
        <v>0</v>
      </c>
      <c r="CB30" s="15" t="n">
        <f aca="false">IFERROR(LARGE($AM$6:$AP$25,29),0)</f>
        <v>0</v>
      </c>
      <c r="CC30" s="15" t="n">
        <f aca="false">CC29+CB30</f>
        <v>0</v>
      </c>
    </row>
    <row r="31" customFormat="false" ht="15" hidden="false" customHeight="false" outlineLevel="0" collapsed="false">
      <c r="B31" s="12" t="s">
        <v>193</v>
      </c>
      <c r="L31" s="47" t="s">
        <v>194</v>
      </c>
      <c r="T31" s="15" t="s">
        <v>195</v>
      </c>
      <c r="U31" s="15" t="n">
        <f aca="false">IF($U$21&gt;=100,1,0)</f>
        <v>1</v>
      </c>
      <c r="BZ31" s="15" t="n">
        <f aca="false">IFERROR(LARGE($AH$6:$AK$25,30),0)</f>
        <v>0</v>
      </c>
      <c r="CA31" s="15" t="n">
        <f aca="false">CA30+BZ31</f>
        <v>0</v>
      </c>
      <c r="CB31" s="15" t="n">
        <f aca="false">IFERROR(LARGE($AM$6:$AP$25,30),0)</f>
        <v>0</v>
      </c>
      <c r="CC31" s="15" t="n">
        <f aca="false">CC30+CB31</f>
        <v>0</v>
      </c>
    </row>
    <row r="32" customFormat="false" ht="15" hidden="false" customHeight="false" outlineLevel="0" collapsed="false">
      <c r="B32" s="12" t="s">
        <v>196</v>
      </c>
      <c r="T32" s="15" t="s">
        <v>197</v>
      </c>
      <c r="U32" s="15" t="n">
        <f aca="false">IF(AND($U$22&gt;=$U$26,$U$23&gt;=0),1,0)</f>
        <v>1</v>
      </c>
      <c r="BZ32" s="15" t="n">
        <f aca="false">IFERROR(LARGE($AH$6:$AK$25,31),0)</f>
        <v>0</v>
      </c>
      <c r="CA32" s="15" t="n">
        <f aca="false">CA31+BZ32</f>
        <v>0</v>
      </c>
      <c r="CB32" s="15" t="n">
        <f aca="false">IFERROR(LARGE($AM$6:$AP$25,31),0)</f>
        <v>0</v>
      </c>
      <c r="CC32" s="15" t="n">
        <f aca="false">CC31+CB32</f>
        <v>0</v>
      </c>
    </row>
    <row r="33" customFormat="false" ht="15" hidden="false" customHeight="false" outlineLevel="0" collapsed="false">
      <c r="B33" s="12" t="s">
        <v>198</v>
      </c>
      <c r="L33" s="48" t="s">
        <v>199</v>
      </c>
      <c r="T33" s="15" t="s">
        <v>200</v>
      </c>
      <c r="U33" s="15" t="n">
        <f aca="false">$U$31*$U$32</f>
        <v>1</v>
      </c>
      <c r="BZ33" s="15" t="n">
        <f aca="false">IFERROR(LARGE($AH$6:$AK$25,32),0)</f>
        <v>0</v>
      </c>
      <c r="CA33" s="15" t="n">
        <f aca="false">CA32+BZ33</f>
        <v>0</v>
      </c>
      <c r="CB33" s="15" t="n">
        <f aca="false">IFERROR(LARGE($AM$6:$AP$25,32),0)</f>
        <v>0</v>
      </c>
      <c r="CC33" s="15" t="n">
        <f aca="false">CC32+CB33</f>
        <v>0</v>
      </c>
    </row>
    <row r="34" customFormat="false" ht="15" hidden="false" customHeight="false" outlineLevel="0" collapsed="false">
      <c r="L34" s="48" t="s">
        <v>201</v>
      </c>
      <c r="T34" s="15" t="s">
        <v>202</v>
      </c>
      <c r="U34" s="15" t="n">
        <f aca="false">INDEX($DG$3:$DG$3,$U$13)+$U$27</f>
        <v>41</v>
      </c>
      <c r="BZ34" s="15" t="n">
        <f aca="false">IFERROR(LARGE($AH$6:$AK$25,33),0)</f>
        <v>0</v>
      </c>
      <c r="CA34" s="15" t="n">
        <f aca="false">CA33+BZ34</f>
        <v>0</v>
      </c>
      <c r="CB34" s="15" t="n">
        <f aca="false">IFERROR(LARGE($AM$6:$AP$25,33),0)</f>
        <v>0</v>
      </c>
      <c r="CC34" s="15" t="n">
        <f aca="false">CC33+CB34</f>
        <v>0</v>
      </c>
    </row>
    <row r="35" customFormat="false" ht="15" hidden="false" customHeight="false" outlineLevel="0" collapsed="false">
      <c r="B35" s="48" t="s">
        <v>203</v>
      </c>
      <c r="T35" s="15" t="s">
        <v>204</v>
      </c>
      <c r="U35" s="15" t="n">
        <f aca="false">IF($U$34=0,1,0)</f>
        <v>0</v>
      </c>
      <c r="BZ35" s="15" t="n">
        <f aca="false">IFERROR(LARGE($AH$6:$AK$25,34),0)</f>
        <v>0</v>
      </c>
      <c r="CA35" s="15" t="n">
        <f aca="false">CA34+BZ35</f>
        <v>0</v>
      </c>
      <c r="CB35" s="15" t="n">
        <f aca="false">IFERROR(LARGE($AM$6:$AP$25,34),0)</f>
        <v>0</v>
      </c>
      <c r="CC35" s="15" t="n">
        <f aca="false">CC34+CB35</f>
        <v>0</v>
      </c>
    </row>
    <row r="36" customFormat="false" ht="15" hidden="false" customHeight="false" outlineLevel="0" collapsed="false">
      <c r="B36" s="49" t="s">
        <v>205</v>
      </c>
      <c r="T36" s="15" t="s">
        <v>206</v>
      </c>
      <c r="U36" s="15" t="n">
        <f aca="false">IF($U$35=1,INDEX($CQ$3:$CQ$3,$U$13),INDEX($CQ$23:$CQ$23,$U$14))</f>
        <v>280</v>
      </c>
      <c r="BZ36" s="15" t="n">
        <f aca="false">IFERROR(LARGE($AH$6:$AK$25,35),0)</f>
        <v>0</v>
      </c>
      <c r="CA36" s="15" t="n">
        <f aca="false">CA35+BZ36</f>
        <v>0</v>
      </c>
      <c r="CB36" s="15" t="n">
        <f aca="false">IFERROR(LARGE($AM$6:$AP$25,35),0)</f>
        <v>0</v>
      </c>
      <c r="CC36" s="15" t="n">
        <f aca="false">CC35+CB36</f>
        <v>0</v>
      </c>
    </row>
    <row r="37" customFormat="false" ht="15" hidden="false" customHeight="false" outlineLevel="0" collapsed="false">
      <c r="T37" s="15" t="s">
        <v>207</v>
      </c>
      <c r="U37" s="15" t="n">
        <f aca="false">IF($U$35=1,INDEX($CK$3:$CK$3,$U$13),INDEX($CK$23:$CK$23,$U$14))</f>
        <v>36</v>
      </c>
      <c r="BZ37" s="15" t="n">
        <f aca="false">IFERROR(LARGE($AH$6:$AK$25,36),0)</f>
        <v>0</v>
      </c>
      <c r="CA37" s="15" t="n">
        <f aca="false">CA36+BZ37</f>
        <v>0</v>
      </c>
      <c r="CB37" s="15" t="n">
        <f aca="false">IFERROR(LARGE($AM$6:$AP$25,36),0)</f>
        <v>0</v>
      </c>
      <c r="CC37" s="15" t="n">
        <f aca="false">CC36+CB37</f>
        <v>0</v>
      </c>
    </row>
    <row r="38" customFormat="false" ht="15" hidden="false" customHeight="false" outlineLevel="0" collapsed="false">
      <c r="B38" s="50" t="s">
        <v>208</v>
      </c>
      <c r="T38" s="15" t="s">
        <v>209</v>
      </c>
      <c r="U38" s="15" t="n">
        <f aca="false">IF($U$35=1,INDEX($CR$3:$CR$3,$U$13),INDEX($CR$23:$CR$23,$U$14))</f>
        <v>0</v>
      </c>
      <c r="BZ38" s="15" t="n">
        <f aca="false">IFERROR(LARGE($AH$6:$AK$25,37),0)</f>
        <v>0</v>
      </c>
      <c r="CA38" s="15" t="n">
        <f aca="false">CA37+BZ38</f>
        <v>0</v>
      </c>
      <c r="CB38" s="15" t="n">
        <f aca="false">IFERROR(LARGE($AM$6:$AP$25,37),0)</f>
        <v>0</v>
      </c>
      <c r="CC38" s="15" t="n">
        <f aca="false">CC37+CB38</f>
        <v>0</v>
      </c>
    </row>
    <row r="39" customFormat="false" ht="15" hidden="false" customHeight="false" outlineLevel="0" collapsed="false">
      <c r="B39" s="51" t="s">
        <v>210</v>
      </c>
      <c r="T39" s="15" t="s">
        <v>211</v>
      </c>
      <c r="U39" s="15" t="n">
        <f aca="false">IF($U$35=1,INDEX($CS$3:$CS$3,$U$13),INDEX($CS$23:$CS$23,$U$14))</f>
        <v>7</v>
      </c>
      <c r="BZ39" s="15" t="n">
        <f aca="false">IFERROR(LARGE($AH$6:$AK$25,38),0)</f>
        <v>0</v>
      </c>
      <c r="CA39" s="15" t="n">
        <f aca="false">CA38+BZ39</f>
        <v>0</v>
      </c>
      <c r="CB39" s="15" t="n">
        <f aca="false">IFERROR(LARGE($AM$6:$AP$25,38),0)</f>
        <v>0</v>
      </c>
      <c r="CC39" s="15" t="n">
        <f aca="false">CC38+CB39</f>
        <v>0</v>
      </c>
    </row>
    <row r="40" customFormat="false" ht="15" hidden="false" customHeight="false" outlineLevel="0" collapsed="false">
      <c r="T40" s="15" t="s">
        <v>212</v>
      </c>
      <c r="U40" s="15" t="n">
        <f aca="false">IF($U$35=1,INDEX($CT$3:$CT$3,$U$13),INDEX($CT$23:$CT$23,$U$14))</f>
        <v>0</v>
      </c>
      <c r="BZ40" s="15" t="n">
        <f aca="false">IFERROR(LARGE($AH$6:$AK$25,39),0)</f>
        <v>0</v>
      </c>
      <c r="CA40" s="15" t="n">
        <f aca="false">CA39+BZ40</f>
        <v>0</v>
      </c>
      <c r="CB40" s="15" t="n">
        <f aca="false">IFERROR(LARGE($AM$6:$AP$25,39),0)</f>
        <v>0</v>
      </c>
      <c r="CC40" s="15" t="n">
        <f aca="false">CC39+CB40</f>
        <v>0</v>
      </c>
    </row>
    <row r="41" customFormat="false" ht="15" hidden="false" customHeight="false" outlineLevel="0" collapsed="false">
      <c r="T41" s="15" t="s">
        <v>213</v>
      </c>
      <c r="U41" s="15" t="n">
        <f aca="false">IF($U$35=1,INDEX($CL$3:$CL$3,$U$13),INDEX($CL$23:$CL$23,$U$14))</f>
        <v>84</v>
      </c>
      <c r="BZ41" s="15" t="n">
        <f aca="false">IFERROR(LARGE($AH$6:$AK$25,40),0)</f>
        <v>0</v>
      </c>
      <c r="CA41" s="15" t="n">
        <f aca="false">CA40+BZ41</f>
        <v>0</v>
      </c>
      <c r="CB41" s="15" t="n">
        <f aca="false">IFERROR(LARGE($AM$6:$AP$25,40),0)</f>
        <v>0</v>
      </c>
      <c r="CC41" s="15" t="n">
        <f aca="false">CC40+CB41</f>
        <v>0</v>
      </c>
    </row>
    <row r="42" customFormat="false" ht="15" hidden="false" customHeight="false" outlineLevel="0" collapsed="false">
      <c r="T42" s="15" t="s">
        <v>214</v>
      </c>
      <c r="U42" s="15" t="n">
        <f aca="false">IF($U$35=1,INDEX($CU$3:$CU$3,$U$13),INDEX($CU$23:$CU$23,$U$14))</f>
        <v>168</v>
      </c>
      <c r="BZ42" s="15" t="n">
        <f aca="false">IFERROR(LARGE($AH$6:$AK$25,41),0)</f>
        <v>0</v>
      </c>
      <c r="CA42" s="15" t="n">
        <f aca="false">CA41+BZ42</f>
        <v>0</v>
      </c>
      <c r="CB42" s="15" t="n">
        <f aca="false">IFERROR(LARGE($AM$6:$AP$25,41),0)</f>
        <v>0</v>
      </c>
      <c r="CC42" s="15" t="n">
        <f aca="false">CC41+CB42</f>
        <v>0</v>
      </c>
    </row>
    <row r="43" customFormat="false" ht="15" hidden="false" customHeight="false" outlineLevel="0" collapsed="false">
      <c r="T43" s="15" t="s">
        <v>215</v>
      </c>
      <c r="U43" s="15" t="n">
        <f aca="false">IF($U$35=1,INDEX($CP$3:$CP$3,$U$13),INDEX($CP$23:$CP$23,$U$14))</f>
        <v>36</v>
      </c>
      <c r="BZ43" s="15" t="n">
        <f aca="false">IFERROR(LARGE($AH$6:$AK$25,42),0)</f>
        <v>0</v>
      </c>
      <c r="CA43" s="15" t="n">
        <f aca="false">CA42+BZ43</f>
        <v>0</v>
      </c>
      <c r="CB43" s="15" t="n">
        <f aca="false">IFERROR(LARGE($AM$6:$AP$25,42),0)</f>
        <v>0</v>
      </c>
      <c r="CC43" s="15" t="n">
        <f aca="false">CC42+CB43</f>
        <v>0</v>
      </c>
    </row>
    <row r="44" customFormat="false" ht="15" hidden="false" customHeight="false" outlineLevel="0" collapsed="false">
      <c r="T44" s="15" t="s">
        <v>216</v>
      </c>
      <c r="U44" s="15" t="n">
        <f aca="false">IF($U$35=1,INDEX($CO$3:$CO$3,$U$13),INDEX($CO$23:$CO$23,$U$14))</f>
        <v>252</v>
      </c>
      <c r="BZ44" s="15" t="n">
        <f aca="false">IFERROR(LARGE($AH$6:$AK$25,43),0)</f>
        <v>0</v>
      </c>
      <c r="CA44" s="15" t="n">
        <f aca="false">CA43+BZ44</f>
        <v>0</v>
      </c>
      <c r="CB44" s="15" t="n">
        <f aca="false">IFERROR(LARGE($AM$6:$AP$25,43),0)</f>
        <v>0</v>
      </c>
      <c r="CC44" s="15" t="n">
        <f aca="false">CC43+CB44</f>
        <v>0</v>
      </c>
    </row>
    <row r="45" customFormat="false" ht="15" hidden="false" customHeight="false" outlineLevel="0" collapsed="false">
      <c r="T45" s="15" t="s">
        <v>217</v>
      </c>
      <c r="U45" s="15" t="n">
        <f aca="false">IF($U$35=1,INDEX($CH$3:$CH$3,$U$13),INDEX($CH$23:$CH$23,$U$14))</f>
        <v>0</v>
      </c>
      <c r="BZ45" s="15" t="n">
        <f aca="false">IFERROR(LARGE($AH$6:$AK$25,44),0)</f>
        <v>0</v>
      </c>
      <c r="CA45" s="15" t="n">
        <f aca="false">CA44+BZ45</f>
        <v>0</v>
      </c>
      <c r="CB45" s="15" t="n">
        <f aca="false">IFERROR(LARGE($AM$6:$AP$25,44),0)</f>
        <v>0</v>
      </c>
      <c r="CC45" s="15" t="n">
        <f aca="false">CC44+CB45</f>
        <v>0</v>
      </c>
    </row>
    <row r="46" customFormat="false" ht="15" hidden="false" customHeight="false" outlineLevel="0" collapsed="false">
      <c r="T46" s="15" t="s">
        <v>218</v>
      </c>
      <c r="U46" s="15" t="n">
        <f aca="false">IF($U$35=1,INDEX($DF$3:$DF$3,$U$13),INDEX($DF$23:$DF$23,$U$14))</f>
        <v>1</v>
      </c>
      <c r="BZ46" s="15" t="n">
        <f aca="false">IFERROR(LARGE($AH$6:$AK$25,45),0)</f>
        <v>0</v>
      </c>
      <c r="CA46" s="15" t="n">
        <f aca="false">CA45+BZ46</f>
        <v>0</v>
      </c>
      <c r="CB46" s="15" t="n">
        <f aca="false">IFERROR(LARGE($AM$6:$AP$25,45),0)</f>
        <v>0</v>
      </c>
      <c r="CC46" s="15" t="n">
        <f aca="false">CC45+CB46</f>
        <v>0</v>
      </c>
    </row>
    <row r="47" customFormat="false" ht="15" hidden="false" customHeight="false" outlineLevel="0" collapsed="false">
      <c r="T47" s="15" t="s">
        <v>219</v>
      </c>
      <c r="U47" s="15" t="n">
        <f aca="false">IF($U$35=1,INDEX($CV$3:$CV$3,$U$13),INDEX($CV$23:$CV$23,$U$14))</f>
        <v>1</v>
      </c>
      <c r="BZ47" s="15" t="n">
        <f aca="false">IFERROR(LARGE($AH$6:$AK$25,46),0)</f>
        <v>0</v>
      </c>
      <c r="CA47" s="15" t="n">
        <f aca="false">CA46+BZ47</f>
        <v>0</v>
      </c>
      <c r="CB47" s="15" t="n">
        <f aca="false">IFERROR(LARGE($AM$6:$AP$25,46),0)</f>
        <v>0</v>
      </c>
      <c r="CC47" s="15" t="n">
        <f aca="false">CC46+CB47</f>
        <v>0</v>
      </c>
    </row>
    <row r="48" customFormat="false" ht="15" hidden="false" customHeight="false" outlineLevel="0" collapsed="false">
      <c r="T48" s="15" t="s">
        <v>220</v>
      </c>
      <c r="U48" s="15" t="n">
        <f aca="false">IF($U$35=1,INDEX($CW$3:$CW$3,$U$13),INDEX($CW$23:$CW$23,$U$14))</f>
        <v>1</v>
      </c>
      <c r="BZ48" s="15" t="n">
        <f aca="false">IFERROR(LARGE($AH$6:$AK$25,47),0)</f>
        <v>0</v>
      </c>
      <c r="CA48" s="15" t="n">
        <f aca="false">CA47+BZ48</f>
        <v>0</v>
      </c>
      <c r="CB48" s="15" t="n">
        <f aca="false">IFERROR(LARGE($AM$6:$AP$25,47),0)</f>
        <v>0</v>
      </c>
      <c r="CC48" s="15" t="n">
        <f aca="false">CC47+CB48</f>
        <v>0</v>
      </c>
    </row>
    <row r="49" customFormat="false" ht="15" hidden="false" customHeight="false" outlineLevel="0" collapsed="false">
      <c r="T49" s="15" t="s">
        <v>221</v>
      </c>
      <c r="U49" s="15" t="n">
        <f aca="false">IF($U$35=1,INDEX($CX$3:$CX$3,$U$13),INDEX($CX$23:$CX$23,$U$14))</f>
        <v>1</v>
      </c>
      <c r="BZ49" s="15" t="n">
        <f aca="false">IFERROR(LARGE($AH$6:$AK$25,48),0)</f>
        <v>0</v>
      </c>
      <c r="CA49" s="15" t="n">
        <f aca="false">CA48+BZ49</f>
        <v>0</v>
      </c>
      <c r="CB49" s="15" t="n">
        <f aca="false">IFERROR(LARGE($AM$6:$AP$25,48),0)</f>
        <v>0</v>
      </c>
      <c r="CC49" s="15" t="n">
        <f aca="false">CC48+CB49</f>
        <v>0</v>
      </c>
    </row>
    <row r="50" customFormat="false" ht="15" hidden="false" customHeight="false" outlineLevel="0" collapsed="false">
      <c r="T50" s="15" t="s">
        <v>222</v>
      </c>
      <c r="U50" s="15" t="n">
        <f aca="false">IF($U$35=1,INDEX($CY$3:$CY$3,$U$13),INDEX($CY$23:$CY$23,$U$14))</f>
        <v>1</v>
      </c>
      <c r="BZ50" s="15" t="n">
        <f aca="false">IFERROR(LARGE($AH$6:$AK$25,49),0)</f>
        <v>0</v>
      </c>
      <c r="CA50" s="15" t="n">
        <f aca="false">CA49+BZ50</f>
        <v>0</v>
      </c>
      <c r="CB50" s="15" t="n">
        <f aca="false">IFERROR(LARGE($AM$6:$AP$25,49),0)</f>
        <v>0</v>
      </c>
      <c r="CC50" s="15" t="n">
        <f aca="false">CC49+CB50</f>
        <v>0</v>
      </c>
    </row>
    <row r="51" customFormat="false" ht="15" hidden="false" customHeight="false" outlineLevel="0" collapsed="false">
      <c r="T51" s="15" t="s">
        <v>223</v>
      </c>
      <c r="U51" s="15" t="n">
        <f aca="false">IF($U$35=1,INDEX($CZ$3:$CZ$3,$U$13),INDEX($CZ$23:$CZ$23,$U$14))</f>
        <v>1</v>
      </c>
      <c r="BZ51" s="15" t="n">
        <f aca="false">IFERROR(LARGE($AH$6:$AK$25,50),0)</f>
        <v>0</v>
      </c>
      <c r="CA51" s="15" t="n">
        <f aca="false">CA50+BZ51</f>
        <v>0</v>
      </c>
      <c r="CB51" s="15" t="n">
        <f aca="false">IFERROR(LARGE($AM$6:$AP$25,50),0)</f>
        <v>0</v>
      </c>
      <c r="CC51" s="15" t="n">
        <f aca="false">CC50+CB51</f>
        <v>0</v>
      </c>
    </row>
    <row r="52" customFormat="false" ht="15" hidden="false" customHeight="false" outlineLevel="0" collapsed="false">
      <c r="T52" s="15" t="s">
        <v>224</v>
      </c>
      <c r="U52" s="15" t="n">
        <f aca="false">IF($U$35=1,INDEX($DA$3:$DA$3,$U$13),INDEX($DA$23:$DA$23,$U$14))</f>
        <v>1</v>
      </c>
      <c r="BZ52" s="15" t="n">
        <f aca="false">IFERROR(LARGE($AH$6:$AK$25,51),0)</f>
        <v>0</v>
      </c>
      <c r="CA52" s="15" t="n">
        <f aca="false">CA51+BZ52</f>
        <v>0</v>
      </c>
      <c r="CB52" s="15" t="n">
        <f aca="false">IFERROR(LARGE($AM$6:$AP$25,51),0)</f>
        <v>0</v>
      </c>
      <c r="CC52" s="15" t="n">
        <f aca="false">CC51+CB52</f>
        <v>0</v>
      </c>
    </row>
    <row r="53" customFormat="false" ht="15" hidden="false" customHeight="false" outlineLevel="0" collapsed="false">
      <c r="T53" s="15" t="s">
        <v>225</v>
      </c>
      <c r="U53" s="15" t="n">
        <f aca="false">IF($U$35=1,INDEX($DB$3:$DB$3,$U$13),INDEX($DB$23:$DB$23,$U$14))</f>
        <v>1</v>
      </c>
      <c r="BZ53" s="15" t="n">
        <f aca="false">IFERROR(LARGE($AH$6:$AK$25,52),0)</f>
        <v>0</v>
      </c>
      <c r="CA53" s="15" t="n">
        <f aca="false">CA52+BZ53</f>
        <v>0</v>
      </c>
      <c r="CB53" s="15" t="n">
        <f aca="false">IFERROR(LARGE($AM$6:$AP$25,52),0)</f>
        <v>0</v>
      </c>
      <c r="CC53" s="15" t="n">
        <f aca="false">CC52+CB53</f>
        <v>0</v>
      </c>
    </row>
    <row r="54" customFormat="false" ht="15" hidden="false" customHeight="false" outlineLevel="0" collapsed="false">
      <c r="T54" s="15" t="s">
        <v>226</v>
      </c>
      <c r="U54" s="15" t="n">
        <f aca="false">IF($U$35=1,INDEX($DC$3:$DC$3,$U$13),INDEX($DC$23:$DC$23,$U$14))</f>
        <v>1</v>
      </c>
      <c r="BZ54" s="15" t="n">
        <f aca="false">IFERROR(LARGE($AH$6:$AK$25,53),0)</f>
        <v>0</v>
      </c>
      <c r="CA54" s="15" t="n">
        <f aca="false">CA53+BZ54</f>
        <v>0</v>
      </c>
      <c r="CB54" s="15" t="n">
        <f aca="false">IFERROR(LARGE($AM$6:$AP$25,53),0)</f>
        <v>0</v>
      </c>
      <c r="CC54" s="15" t="n">
        <f aca="false">CC53+CB54</f>
        <v>0</v>
      </c>
    </row>
    <row r="55" customFormat="false" ht="15" hidden="false" customHeight="false" outlineLevel="0" collapsed="false">
      <c r="T55" s="15" t="s">
        <v>227</v>
      </c>
      <c r="U55" s="15" t="n">
        <f aca="false">IF($U$35=1,INDEX($DD$3:$DD$3,$U$13),INDEX($DD$23:$DD$23,$U$14))</f>
        <v>1</v>
      </c>
      <c r="BZ55" s="15" t="n">
        <f aca="false">IFERROR(LARGE($AH$6:$AK$25,54),0)</f>
        <v>0</v>
      </c>
      <c r="CA55" s="15" t="n">
        <f aca="false">CA54+BZ55</f>
        <v>0</v>
      </c>
      <c r="CB55" s="15" t="n">
        <f aca="false">IFERROR(LARGE($AM$6:$AP$25,54),0)</f>
        <v>0</v>
      </c>
      <c r="CC55" s="15" t="n">
        <f aca="false">CC54+CB55</f>
        <v>0</v>
      </c>
    </row>
    <row r="56" customFormat="false" ht="15" hidden="false" customHeight="false" outlineLevel="0" collapsed="false">
      <c r="T56" s="15" t="s">
        <v>228</v>
      </c>
      <c r="U56" s="15" t="n">
        <f aca="false">IF($U$35=1,INDEX($DE$3:$DE$3,$U$13),INDEX($DE$23:$DE$23,$U$14))</f>
        <v>1</v>
      </c>
      <c r="BZ56" s="15" t="n">
        <f aca="false">IFERROR(LARGE($AH$6:$AK$25,55),0)</f>
        <v>0</v>
      </c>
      <c r="CA56" s="15" t="n">
        <f aca="false">CA55+BZ56</f>
        <v>0</v>
      </c>
      <c r="CB56" s="15" t="n">
        <f aca="false">IFERROR(LARGE($AM$6:$AP$25,55),0)</f>
        <v>0</v>
      </c>
      <c r="CC56" s="15" t="n">
        <f aca="false">CC55+CB56</f>
        <v>0</v>
      </c>
    </row>
    <row r="57" customFormat="false" ht="15" hidden="false" customHeight="false" outlineLevel="0" collapsed="false">
      <c r="T57" s="15" t="s">
        <v>229</v>
      </c>
      <c r="U57" s="15" t="n">
        <f aca="false">IF($U$35=1,$U$13,$U$14)</f>
        <v>1</v>
      </c>
      <c r="BZ57" s="15" t="n">
        <f aca="false">IFERROR(LARGE($AH$6:$AK$25,56),0)</f>
        <v>0</v>
      </c>
      <c r="CA57" s="15" t="n">
        <f aca="false">CA56+BZ57</f>
        <v>0</v>
      </c>
      <c r="CB57" s="15" t="n">
        <f aca="false">IFERROR(LARGE($AM$6:$AP$25,56),0)</f>
        <v>0</v>
      </c>
      <c r="CC57" s="15" t="n">
        <f aca="false">CC56+CB57</f>
        <v>0</v>
      </c>
    </row>
    <row r="58" customFormat="false" ht="15" hidden="false" customHeight="false" outlineLevel="0" collapsed="false">
      <c r="T58" s="15" t="s">
        <v>230</v>
      </c>
      <c r="U58" s="15" t="n">
        <f aca="false">IF($U$35=1,$U$9,$V$9)</f>
        <v>0</v>
      </c>
    </row>
    <row r="59" customFormat="false" ht="15" hidden="false" customHeight="false" outlineLevel="0" collapsed="false">
      <c r="T59" s="15" t="s">
        <v>231</v>
      </c>
      <c r="U59" s="15" t="n">
        <f aca="false">IF($U$35=1,$U$16,$U$21)</f>
        <v>140</v>
      </c>
    </row>
    <row r="60" customFormat="false" ht="15" hidden="false" customHeight="false" outlineLevel="0" collapsed="false">
      <c r="T60" s="15" t="s">
        <v>232</v>
      </c>
      <c r="U60" s="15" t="n">
        <f aca="false">IF($U$35=1,$U$17,$U$22)</f>
        <v>5</v>
      </c>
    </row>
    <row r="61" customFormat="false" ht="15" hidden="false" customHeight="false" outlineLevel="0" collapsed="false">
      <c r="T61" s="15" t="s">
        <v>233</v>
      </c>
      <c r="U61" s="15" t="n">
        <f aca="false">IF($U$35=1,$U$28,$U$31)</f>
        <v>1</v>
      </c>
    </row>
    <row r="62" customFormat="false" ht="15" hidden="false" customHeight="false" outlineLevel="0" collapsed="false">
      <c r="T62" s="15" t="s">
        <v>234</v>
      </c>
      <c r="U62" s="15" t="n">
        <f aca="false">IF($U$35=1,$U$29,$U$32)</f>
        <v>1</v>
      </c>
    </row>
    <row r="63" customFormat="false" ht="15" hidden="false" customHeight="false" outlineLevel="0" collapsed="false">
      <c r="T63" s="15" t="s">
        <v>235</v>
      </c>
      <c r="U63" s="15" t="n">
        <f aca="false">IF($U$35=1,$U$30,$U$33)</f>
        <v>1</v>
      </c>
    </row>
    <row r="64" customFormat="false" ht="15" hidden="false" customHeight="false" outlineLevel="0" collapsed="false">
      <c r="T64" s="15" t="s">
        <v>150</v>
      </c>
      <c r="U64" s="15" t="n">
        <f aca="false">$U$36+$U$59</f>
        <v>420</v>
      </c>
    </row>
    <row r="65" customFormat="false" ht="15" hidden="false" customHeight="false" outlineLevel="0" collapsed="false">
      <c r="T65" s="15" t="s">
        <v>236</v>
      </c>
      <c r="U65" s="15" t="n">
        <f aca="false">IF($U$64&gt;=300,1,0)</f>
        <v>1</v>
      </c>
    </row>
    <row r="66" customFormat="false" ht="15" hidden="false" customHeight="false" outlineLevel="0" collapsed="false">
      <c r="T66" s="15" t="s">
        <v>237</v>
      </c>
      <c r="U66" s="15" t="n">
        <f aca="false">IF($U$46*$U$63*$U$65=1,1,0)</f>
        <v>1</v>
      </c>
    </row>
    <row r="67" customFormat="false" ht="15" hidden="false" customHeight="false" outlineLevel="0" collapsed="false">
      <c r="T67" s="15" t="s">
        <v>238</v>
      </c>
      <c r="U67" s="15" t="n">
        <f aca="false">IF($U$64&lt;300,"",MAX(10,MIN(40,INT((1020-$U$64)/18))))</f>
        <v>33</v>
      </c>
    </row>
    <row r="68" customFormat="false" ht="15" hidden="false" customHeight="false" outlineLevel="0" collapsed="false">
      <c r="T68" s="15" t="s">
        <v>239</v>
      </c>
      <c r="U68" s="15" t="n">
        <f aca="false">IF($U$67="",MAX(0,300-$U$64),IF($U$67&gt;10,1021-18*$U$67-$U$64,""))</f>
        <v>7</v>
      </c>
    </row>
    <row r="69" customFormat="false" ht="15" hidden="false" customHeight="false" outlineLevel="0" collapsed="false">
      <c r="T69" s="15" t="s">
        <v>240</v>
      </c>
      <c r="U69" s="15" t="n">
        <f aca="false">IF($U$67="","",$U$64-IF($U$67&gt;=40,300,1020-18*($U$67+1)+1))</f>
        <v>11</v>
      </c>
    </row>
  </sheetData>
  <sheetProtection sheet="true" formatCells="false" formatColumns="false" formatRows="false"/>
  <mergeCells count="1">
    <mergeCell ref="M6:N6"/>
  </mergeCells>
  <conditionalFormatting sqref="E6:H25">
    <cfRule type="expression" priority="2" aboveAverage="0" equalAverage="0" bottom="0" percent="0" rank="0" text="" dxfId="0">
      <formula>AND(ISNUMBER(E6),AR6=1,E6&lt;5)</formula>
    </cfRule>
    <cfRule type="expression" priority="3" aboveAverage="0" equalAverage="0" bottom="0" percent="0" rank="0" text="" dxfId="1">
      <formula>AND(ISNUMBER(E6),AR6=1)</formula>
    </cfRule>
    <cfRule type="expression" priority="4" aboveAverage="0" equalAverage="0" bottom="0" percent="0" rank="0" text="" dxfId="2">
      <formula>ISNUMBER(E6)</formula>
    </cfRule>
  </conditionalFormatting>
  <conditionalFormatting sqref="I6:J10">
    <cfRule type="expression" priority="5" aboveAverage="0" equalAverage="0" bottom="0" percent="0" rank="0" text="" dxfId="3">
      <formula>AND(ISNUMBER(I6),I6&lt;5)</formula>
    </cfRule>
  </conditionalFormatting>
  <conditionalFormatting sqref="M19:M25">
    <cfRule type="expression" priority="6" aboveAverage="0" equalAverage="0" bottom="0" percent="0" rank="0" text="" dxfId="0">
      <formula>LEFT(M19,1)="✗"</formula>
    </cfRule>
    <cfRule type="expression" priority="7" aboveAverage="0" equalAverage="0" bottom="0" percent="0" rank="0" text="" dxfId="4">
      <formula>LEFT(M19,1)="✓"</formula>
    </cfRule>
  </conditionalFormatting>
  <conditionalFormatting sqref="M10">
    <cfRule type="expression" priority="8" aboveAverage="0" equalAverage="0" bottom="0" percent="0" rank="0" text="" dxfId="5">
      <formula>ISTEXT(M10)</formula>
    </cfRule>
  </conditionalFormatting>
  <dataValidations count="2">
    <dataValidation allowBlank="true" error="Bitte eine ganze Zahl von 0 bis 15 eingeben." errorStyle="stop" errorTitle="Notenpunkte" operator="between" prompt="Punkte 0–15" promptTitle="Notenpunkte" showDropDown="false" showErrorMessage="false" showInputMessage="false" sqref="E6:J8 E9:I10 E12:H25" type="whole">
      <formula1>0</formula1>
      <formula2>15</formula2>
    </dataValidation>
    <dataValidation allowBlank="true" error="Nur &quot;x&quot; oder leer." errorStyle="stop" errorTitle="Pflichtkurs" operator="between" showDropDown="false" showErrorMessage="false" showInputMessage="false" sqref="D12:D25" type="list">
      <formula1>"x"</formula1>
      <formula2>0</formula2>
    </dataValidation>
  </dataValidations>
  <hyperlinks>
    <hyperlink ref="B36" r:id="rId2" display="https://landesrecht.thueringen.de/perma?d=jlr-NNLTH0000384E"/>
    <hyperlink ref="B38" r:id="rId3" display="Online-Rechner Thüringen mit Statistik und PDF-Download: https://www.abi-rechner.com/bundeslander/thuringen/"/>
  </hyperlinks>
  <printOptions headings="false" gridLines="false" gridLinesSet="true" horizontalCentered="false" verticalCentered="false"/>
  <pageMargins left="0.75" right="0.75" top="1" bottom="1" header="0.511811023622047" footer="0.5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&amp;CAbi-Rechner Thüringen · abi-rechner.com · Stand September 2026</oddFooter>
  </headerFooter>
  <legacyDrawing r:id="rId4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H3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2" min="2" style="0" width="12"/>
    <col collapsed="false" customWidth="true" hidden="false" outlineLevel="0" max="4" min="3" style="0" width="14"/>
    <col collapsed="false" customWidth="true" hidden="false" outlineLevel="0" max="5" min="5" style="0" width="4"/>
    <col collapsed="false" customWidth="true" hidden="false" outlineLevel="0" max="6" min="6" style="0" width="14"/>
    <col collapsed="false" customWidth="true" hidden="false" outlineLevel="0" max="7" min="7" style="0" width="12"/>
    <col collapsed="false" customWidth="true" hidden="false" outlineLevel="0" max="8" min="8" style="0" width="16"/>
  </cols>
  <sheetData>
    <row r="1" customFormat="false" ht="17.35" hidden="false" customHeight="false" outlineLevel="0" collapsed="false">
      <c r="B1" s="52" t="s">
        <v>241</v>
      </c>
    </row>
    <row r="2" customFormat="false" ht="15" hidden="false" customHeight="false" outlineLevel="0" collapsed="false">
      <c r="B2" s="2" t="s">
        <v>242</v>
      </c>
    </row>
    <row r="4" customFormat="false" ht="15" hidden="false" customHeight="false" outlineLevel="0" collapsed="false">
      <c r="B4" s="41" t="s">
        <v>127</v>
      </c>
      <c r="C4" s="41" t="s">
        <v>243</v>
      </c>
      <c r="D4" s="41" t="s">
        <v>244</v>
      </c>
      <c r="F4" s="41" t="s">
        <v>245</v>
      </c>
      <c r="G4" s="41" t="s">
        <v>246</v>
      </c>
      <c r="H4" s="6" t="s">
        <v>247</v>
      </c>
    </row>
    <row r="5" customFormat="false" ht="15" hidden="false" customHeight="false" outlineLevel="0" collapsed="false">
      <c r="B5" s="53" t="n">
        <f aca="false">10/10</f>
        <v>1</v>
      </c>
      <c r="C5" s="10" t="n">
        <f aca="false">IF((B5*10)=40,300,1020-18*((B5*10)+1)+1)</f>
        <v>823</v>
      </c>
      <c r="D5" s="10" t="n">
        <f aca="false">IF((B5*10)=10,900,1020-18*(B5*10))</f>
        <v>900</v>
      </c>
      <c r="F5" s="54" t="n">
        <v>15</v>
      </c>
      <c r="G5" s="10" t="s">
        <v>248</v>
      </c>
      <c r="H5" s="11" t="s">
        <v>249</v>
      </c>
    </row>
    <row r="6" customFormat="false" ht="15" hidden="false" customHeight="false" outlineLevel="0" collapsed="false">
      <c r="B6" s="53" t="n">
        <f aca="false">11/10</f>
        <v>1.1</v>
      </c>
      <c r="C6" s="10" t="n">
        <f aca="false">IF((B6*10)=40,300,1020-18*((B6*10)+1)+1)</f>
        <v>805</v>
      </c>
      <c r="D6" s="10" t="n">
        <f aca="false">IF((B6*10)=10,900,1020-18*(B6*10))</f>
        <v>822</v>
      </c>
      <c r="F6" s="54" t="n">
        <v>14</v>
      </c>
      <c r="G6" s="10" t="s">
        <v>250</v>
      </c>
      <c r="H6" s="11" t="s">
        <v>249</v>
      </c>
    </row>
    <row r="7" customFormat="false" ht="15" hidden="false" customHeight="false" outlineLevel="0" collapsed="false">
      <c r="B7" s="53" t="n">
        <f aca="false">12/10</f>
        <v>1.2</v>
      </c>
      <c r="C7" s="10" t="n">
        <f aca="false">IF((B7*10)=40,300,1020-18*((B7*10)+1)+1)</f>
        <v>787</v>
      </c>
      <c r="D7" s="10" t="n">
        <f aca="false">IF((B7*10)=10,900,1020-18*(B7*10))</f>
        <v>804</v>
      </c>
      <c r="F7" s="54" t="n">
        <v>13</v>
      </c>
      <c r="G7" s="10" t="s">
        <v>251</v>
      </c>
      <c r="H7" s="11" t="s">
        <v>249</v>
      </c>
    </row>
    <row r="8" customFormat="false" ht="15" hidden="false" customHeight="false" outlineLevel="0" collapsed="false">
      <c r="B8" s="53" t="n">
        <f aca="false">13/10</f>
        <v>1.3</v>
      </c>
      <c r="C8" s="10" t="n">
        <f aca="false">IF((B8*10)=40,300,1020-18*((B8*10)+1)+1)</f>
        <v>769</v>
      </c>
      <c r="D8" s="10" t="n">
        <f aca="false">IF((B8*10)=10,900,1020-18*(B8*10))</f>
        <v>786</v>
      </c>
      <c r="F8" s="54" t="n">
        <v>12</v>
      </c>
      <c r="G8" s="10" t="s">
        <v>252</v>
      </c>
      <c r="H8" s="11" t="s">
        <v>253</v>
      </c>
    </row>
    <row r="9" customFormat="false" ht="15" hidden="false" customHeight="false" outlineLevel="0" collapsed="false">
      <c r="B9" s="53" t="n">
        <f aca="false">14/10</f>
        <v>1.4</v>
      </c>
      <c r="C9" s="10" t="n">
        <f aca="false">IF((B9*10)=40,300,1020-18*((B9*10)+1)+1)</f>
        <v>751</v>
      </c>
      <c r="D9" s="10" t="n">
        <f aca="false">IF((B9*10)=10,900,1020-18*(B9*10))</f>
        <v>768</v>
      </c>
      <c r="F9" s="54" t="n">
        <v>11</v>
      </c>
      <c r="G9" s="10" t="s">
        <v>254</v>
      </c>
      <c r="H9" s="11" t="s">
        <v>253</v>
      </c>
    </row>
    <row r="10" customFormat="false" ht="15" hidden="false" customHeight="false" outlineLevel="0" collapsed="false">
      <c r="B10" s="53" t="n">
        <f aca="false">15/10</f>
        <v>1.5</v>
      </c>
      <c r="C10" s="10" t="n">
        <f aca="false">IF((B10*10)=40,300,1020-18*((B10*10)+1)+1)</f>
        <v>733</v>
      </c>
      <c r="D10" s="10" t="n">
        <f aca="false">IF((B10*10)=10,900,1020-18*(B10*10))</f>
        <v>750</v>
      </c>
      <c r="F10" s="54" t="n">
        <v>10</v>
      </c>
      <c r="G10" s="10" t="s">
        <v>255</v>
      </c>
      <c r="H10" s="11" t="s">
        <v>253</v>
      </c>
    </row>
    <row r="11" customFormat="false" ht="15" hidden="false" customHeight="false" outlineLevel="0" collapsed="false">
      <c r="B11" s="53" t="n">
        <f aca="false">16/10</f>
        <v>1.6</v>
      </c>
      <c r="C11" s="10" t="n">
        <f aca="false">IF((B11*10)=40,300,1020-18*((B11*10)+1)+1)</f>
        <v>715</v>
      </c>
      <c r="D11" s="10" t="n">
        <f aca="false">IF((B11*10)=10,900,1020-18*(B11*10))</f>
        <v>732</v>
      </c>
      <c r="F11" s="54" t="n">
        <v>9</v>
      </c>
      <c r="G11" s="10" t="s">
        <v>256</v>
      </c>
      <c r="H11" s="11" t="s">
        <v>257</v>
      </c>
    </row>
    <row r="12" customFormat="false" ht="15" hidden="false" customHeight="false" outlineLevel="0" collapsed="false">
      <c r="B12" s="53" t="n">
        <f aca="false">17/10</f>
        <v>1.7</v>
      </c>
      <c r="C12" s="10" t="n">
        <f aca="false">IF((B12*10)=40,300,1020-18*((B12*10)+1)+1)</f>
        <v>697</v>
      </c>
      <c r="D12" s="10" t="n">
        <f aca="false">IF((B12*10)=10,900,1020-18*(B12*10))</f>
        <v>714</v>
      </c>
      <c r="F12" s="54" t="n">
        <v>8</v>
      </c>
      <c r="G12" s="10" t="s">
        <v>258</v>
      </c>
      <c r="H12" s="11" t="s">
        <v>257</v>
      </c>
    </row>
    <row r="13" customFormat="false" ht="15" hidden="false" customHeight="false" outlineLevel="0" collapsed="false">
      <c r="B13" s="53" t="n">
        <f aca="false">18/10</f>
        <v>1.8</v>
      </c>
      <c r="C13" s="10" t="n">
        <f aca="false">IF((B13*10)=40,300,1020-18*((B13*10)+1)+1)</f>
        <v>679</v>
      </c>
      <c r="D13" s="10" t="n">
        <f aca="false">IF((B13*10)=10,900,1020-18*(B13*10))</f>
        <v>696</v>
      </c>
      <c r="F13" s="54" t="n">
        <v>7</v>
      </c>
      <c r="G13" s="10" t="s">
        <v>259</v>
      </c>
      <c r="H13" s="11" t="s">
        <v>257</v>
      </c>
    </row>
    <row r="14" customFormat="false" ht="15" hidden="false" customHeight="false" outlineLevel="0" collapsed="false">
      <c r="B14" s="53" t="n">
        <f aca="false">19/10</f>
        <v>1.9</v>
      </c>
      <c r="C14" s="10" t="n">
        <f aca="false">IF((B14*10)=40,300,1020-18*((B14*10)+1)+1)</f>
        <v>661</v>
      </c>
      <c r="D14" s="10" t="n">
        <f aca="false">IF((B14*10)=10,900,1020-18*(B14*10))</f>
        <v>678</v>
      </c>
      <c r="F14" s="54" t="n">
        <v>6</v>
      </c>
      <c r="G14" s="10" t="s">
        <v>260</v>
      </c>
      <c r="H14" s="11" t="s">
        <v>261</v>
      </c>
    </row>
    <row r="15" customFormat="false" ht="15" hidden="false" customHeight="false" outlineLevel="0" collapsed="false">
      <c r="B15" s="53" t="n">
        <f aca="false">20/10</f>
        <v>2</v>
      </c>
      <c r="C15" s="10" t="n">
        <f aca="false">IF((B15*10)=40,300,1020-18*((B15*10)+1)+1)</f>
        <v>643</v>
      </c>
      <c r="D15" s="10" t="n">
        <f aca="false">IF((B15*10)=10,900,1020-18*(B15*10))</f>
        <v>660</v>
      </c>
      <c r="F15" s="54" t="n">
        <v>5</v>
      </c>
      <c r="G15" s="10" t="s">
        <v>262</v>
      </c>
      <c r="H15" s="11" t="s">
        <v>261</v>
      </c>
    </row>
    <row r="16" customFormat="false" ht="15" hidden="false" customHeight="false" outlineLevel="0" collapsed="false">
      <c r="B16" s="53" t="n">
        <f aca="false">21/10</f>
        <v>2.1</v>
      </c>
      <c r="C16" s="10" t="n">
        <f aca="false">IF((B16*10)=40,300,1020-18*((B16*10)+1)+1)</f>
        <v>625</v>
      </c>
      <c r="D16" s="10" t="n">
        <f aca="false">IF((B16*10)=10,900,1020-18*(B16*10))</f>
        <v>642</v>
      </c>
      <c r="F16" s="54" t="n">
        <v>4</v>
      </c>
      <c r="G16" s="10" t="s">
        <v>263</v>
      </c>
      <c r="H16" s="11" t="s">
        <v>261</v>
      </c>
    </row>
    <row r="17" customFormat="false" ht="15" hidden="false" customHeight="false" outlineLevel="0" collapsed="false">
      <c r="B17" s="53" t="n">
        <f aca="false">22/10</f>
        <v>2.2</v>
      </c>
      <c r="C17" s="10" t="n">
        <f aca="false">IF((B17*10)=40,300,1020-18*((B17*10)+1)+1)</f>
        <v>607</v>
      </c>
      <c r="D17" s="10" t="n">
        <f aca="false">IF((B17*10)=10,900,1020-18*(B17*10))</f>
        <v>624</v>
      </c>
      <c r="F17" s="54" t="n">
        <v>3</v>
      </c>
      <c r="G17" s="10" t="s">
        <v>264</v>
      </c>
      <c r="H17" s="11" t="s">
        <v>265</v>
      </c>
    </row>
    <row r="18" customFormat="false" ht="15" hidden="false" customHeight="false" outlineLevel="0" collapsed="false">
      <c r="B18" s="53" t="n">
        <f aca="false">23/10</f>
        <v>2.3</v>
      </c>
      <c r="C18" s="10" t="n">
        <f aca="false">IF((B18*10)=40,300,1020-18*((B18*10)+1)+1)</f>
        <v>589</v>
      </c>
      <c r="D18" s="10" t="n">
        <f aca="false">IF((B18*10)=10,900,1020-18*(B18*10))</f>
        <v>606</v>
      </c>
      <c r="F18" s="54" t="n">
        <v>2</v>
      </c>
      <c r="G18" s="10" t="s">
        <v>24</v>
      </c>
      <c r="H18" s="11" t="s">
        <v>265</v>
      </c>
    </row>
    <row r="19" customFormat="false" ht="15" hidden="false" customHeight="false" outlineLevel="0" collapsed="false">
      <c r="B19" s="53" t="n">
        <f aca="false">24/10</f>
        <v>2.4</v>
      </c>
      <c r="C19" s="10" t="n">
        <f aca="false">IF((B19*10)=40,300,1020-18*((B19*10)+1)+1)</f>
        <v>571</v>
      </c>
      <c r="D19" s="10" t="n">
        <f aca="false">IF((B19*10)=10,900,1020-18*(B19*10))</f>
        <v>588</v>
      </c>
      <c r="F19" s="54" t="n">
        <v>1</v>
      </c>
      <c r="G19" s="10" t="s">
        <v>266</v>
      </c>
      <c r="H19" s="11" t="s">
        <v>265</v>
      </c>
    </row>
    <row r="20" customFormat="false" ht="15" hidden="false" customHeight="false" outlineLevel="0" collapsed="false">
      <c r="B20" s="53" t="n">
        <f aca="false">25/10</f>
        <v>2.5</v>
      </c>
      <c r="C20" s="10" t="n">
        <f aca="false">IF((B20*10)=40,300,1020-18*((B20*10)+1)+1)</f>
        <v>553</v>
      </c>
      <c r="D20" s="10" t="n">
        <f aca="false">IF((B20*10)=10,900,1020-18*(B20*10))</f>
        <v>570</v>
      </c>
      <c r="F20" s="54" t="n">
        <v>0</v>
      </c>
      <c r="G20" s="10" t="s">
        <v>267</v>
      </c>
      <c r="H20" s="11" t="s">
        <v>268</v>
      </c>
    </row>
    <row r="21" customFormat="false" ht="15" hidden="false" customHeight="false" outlineLevel="0" collapsed="false">
      <c r="B21" s="53" t="n">
        <f aca="false">26/10</f>
        <v>2.6</v>
      </c>
      <c r="C21" s="10" t="n">
        <f aca="false">IF((B21*10)=40,300,1020-18*((B21*10)+1)+1)</f>
        <v>535</v>
      </c>
      <c r="D21" s="10" t="n">
        <f aca="false">IF((B21*10)=10,900,1020-18*(B21*10))</f>
        <v>552</v>
      </c>
    </row>
    <row r="22" customFormat="false" ht="15" hidden="false" customHeight="false" outlineLevel="0" collapsed="false">
      <c r="B22" s="53" t="n">
        <f aca="false">27/10</f>
        <v>2.7</v>
      </c>
      <c r="C22" s="10" t="n">
        <f aca="false">IF((B22*10)=40,300,1020-18*((B22*10)+1)+1)</f>
        <v>517</v>
      </c>
      <c r="D22" s="10" t="n">
        <f aca="false">IF((B22*10)=10,900,1020-18*(B22*10))</f>
        <v>534</v>
      </c>
      <c r="F22" s="16" t="s">
        <v>269</v>
      </c>
    </row>
    <row r="23" customFormat="false" ht="15" hidden="false" customHeight="false" outlineLevel="0" collapsed="false">
      <c r="B23" s="53" t="n">
        <f aca="false">28/10</f>
        <v>2.8</v>
      </c>
      <c r="C23" s="10" t="n">
        <f aca="false">IF((B23*10)=40,300,1020-18*((B23*10)+1)+1)</f>
        <v>499</v>
      </c>
      <c r="D23" s="10" t="n">
        <f aca="false">IF((B23*10)=10,900,1020-18*(B23*10))</f>
        <v>516</v>
      </c>
    </row>
    <row r="24" customFormat="false" ht="15" hidden="false" customHeight="false" outlineLevel="0" collapsed="false">
      <c r="B24" s="53" t="n">
        <f aca="false">29/10</f>
        <v>2.9</v>
      </c>
      <c r="C24" s="10" t="n">
        <f aca="false">IF((B24*10)=40,300,1020-18*((B24*10)+1)+1)</f>
        <v>481</v>
      </c>
      <c r="D24" s="10" t="n">
        <f aca="false">IF((B24*10)=10,900,1020-18*(B24*10))</f>
        <v>498</v>
      </c>
    </row>
    <row r="25" customFormat="false" ht="15" hidden="false" customHeight="false" outlineLevel="0" collapsed="false">
      <c r="B25" s="53" t="n">
        <f aca="false">30/10</f>
        <v>3</v>
      </c>
      <c r="C25" s="10" t="n">
        <f aca="false">IF((B25*10)=40,300,1020-18*((B25*10)+1)+1)</f>
        <v>463</v>
      </c>
      <c r="D25" s="10" t="n">
        <f aca="false">IF((B25*10)=10,900,1020-18*(B25*10))</f>
        <v>480</v>
      </c>
    </row>
    <row r="26" customFormat="false" ht="15" hidden="false" customHeight="false" outlineLevel="0" collapsed="false">
      <c r="B26" s="53" t="n">
        <f aca="false">31/10</f>
        <v>3.1</v>
      </c>
      <c r="C26" s="10" t="n">
        <f aca="false">IF((B26*10)=40,300,1020-18*((B26*10)+1)+1)</f>
        <v>445</v>
      </c>
      <c r="D26" s="10" t="n">
        <f aca="false">IF((B26*10)=10,900,1020-18*(B26*10))</f>
        <v>462</v>
      </c>
    </row>
    <row r="27" customFormat="false" ht="15" hidden="false" customHeight="false" outlineLevel="0" collapsed="false">
      <c r="B27" s="53" t="n">
        <f aca="false">32/10</f>
        <v>3.2</v>
      </c>
      <c r="C27" s="10" t="n">
        <f aca="false">IF((B27*10)=40,300,1020-18*((B27*10)+1)+1)</f>
        <v>427</v>
      </c>
      <c r="D27" s="10" t="n">
        <f aca="false">IF((B27*10)=10,900,1020-18*(B27*10))</f>
        <v>444</v>
      </c>
    </row>
    <row r="28" customFormat="false" ht="15" hidden="false" customHeight="false" outlineLevel="0" collapsed="false">
      <c r="B28" s="53" t="n">
        <f aca="false">33/10</f>
        <v>3.3</v>
      </c>
      <c r="C28" s="10" t="n">
        <f aca="false">IF((B28*10)=40,300,1020-18*((B28*10)+1)+1)</f>
        <v>409</v>
      </c>
      <c r="D28" s="10" t="n">
        <f aca="false">IF((B28*10)=10,900,1020-18*(B28*10))</f>
        <v>426</v>
      </c>
    </row>
    <row r="29" customFormat="false" ht="15" hidden="false" customHeight="false" outlineLevel="0" collapsed="false">
      <c r="B29" s="53" t="n">
        <f aca="false">34/10</f>
        <v>3.4</v>
      </c>
      <c r="C29" s="10" t="n">
        <f aca="false">IF((B29*10)=40,300,1020-18*((B29*10)+1)+1)</f>
        <v>391</v>
      </c>
      <c r="D29" s="10" t="n">
        <f aca="false">IF((B29*10)=10,900,1020-18*(B29*10))</f>
        <v>408</v>
      </c>
    </row>
    <row r="30" customFormat="false" ht="15" hidden="false" customHeight="false" outlineLevel="0" collapsed="false">
      <c r="B30" s="53" t="n">
        <f aca="false">35/10</f>
        <v>3.5</v>
      </c>
      <c r="C30" s="10" t="n">
        <f aca="false">IF((B30*10)=40,300,1020-18*((B30*10)+1)+1)</f>
        <v>373</v>
      </c>
      <c r="D30" s="10" t="n">
        <f aca="false">IF((B30*10)=10,900,1020-18*(B30*10))</f>
        <v>390</v>
      </c>
    </row>
    <row r="31" customFormat="false" ht="15" hidden="false" customHeight="false" outlineLevel="0" collapsed="false">
      <c r="B31" s="53" t="n">
        <f aca="false">36/10</f>
        <v>3.6</v>
      </c>
      <c r="C31" s="10" t="n">
        <f aca="false">IF((B31*10)=40,300,1020-18*((B31*10)+1)+1)</f>
        <v>355</v>
      </c>
      <c r="D31" s="10" t="n">
        <f aca="false">IF((B31*10)=10,900,1020-18*(B31*10))</f>
        <v>372</v>
      </c>
    </row>
    <row r="32" customFormat="false" ht="15" hidden="false" customHeight="false" outlineLevel="0" collapsed="false">
      <c r="B32" s="53" t="n">
        <f aca="false">37/10</f>
        <v>3.7</v>
      </c>
      <c r="C32" s="10" t="n">
        <f aca="false">IF((B32*10)=40,300,1020-18*((B32*10)+1)+1)</f>
        <v>337</v>
      </c>
      <c r="D32" s="10" t="n">
        <f aca="false">IF((B32*10)=10,900,1020-18*(B32*10))</f>
        <v>354</v>
      </c>
    </row>
    <row r="33" customFormat="false" ht="15" hidden="false" customHeight="false" outlineLevel="0" collapsed="false">
      <c r="B33" s="53" t="n">
        <f aca="false">38/10</f>
        <v>3.8</v>
      </c>
      <c r="C33" s="10" t="n">
        <f aca="false">IF((B33*10)=40,300,1020-18*((B33*10)+1)+1)</f>
        <v>319</v>
      </c>
      <c r="D33" s="10" t="n">
        <f aca="false">IF((B33*10)=10,900,1020-18*(B33*10))</f>
        <v>336</v>
      </c>
    </row>
    <row r="34" customFormat="false" ht="15" hidden="false" customHeight="false" outlineLevel="0" collapsed="false">
      <c r="B34" s="53" t="n">
        <f aca="false">39/10</f>
        <v>3.9</v>
      </c>
      <c r="C34" s="10" t="n">
        <f aca="false">IF((B34*10)=40,300,1020-18*((B34*10)+1)+1)</f>
        <v>301</v>
      </c>
      <c r="D34" s="10" t="n">
        <f aca="false">IF((B34*10)=10,900,1020-18*(B34*10))</f>
        <v>318</v>
      </c>
    </row>
    <row r="35" customFormat="false" ht="15" hidden="false" customHeight="false" outlineLevel="0" collapsed="false">
      <c r="B35" s="53" t="n">
        <f aca="false">40/10</f>
        <v>4</v>
      </c>
      <c r="C35" s="10" t="n">
        <f aca="false">IF((B35*10)=40,300,1020-18*((B35*10)+1)+1)</f>
        <v>300</v>
      </c>
      <c r="D35" s="10" t="n">
        <f aca="false">IF((B35*10)=10,900,1020-18*(B35*10))</f>
        <v>300</v>
      </c>
    </row>
    <row r="37" customFormat="false" ht="15" hidden="false" customHeight="false" outlineLevel="0" collapsed="false">
      <c r="B37" s="16" t="s">
        <v>270</v>
      </c>
    </row>
  </sheetData>
  <sheetProtection sheet="true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2026-09-23T23:59:39Z</dcterms:created>
  <dc:creator>abi-rechner.com</dc:creator>
  <dc:description/>
  <cp:keywords>Abi-Rechner Abiturnote Excel Abitur 2027</cp:keywords>
  <dc:language>en-US</dc:language>
  <cp:lastModifiedBy/>
  <dcterms:modified xsi:type="dcterms:W3CDTF">2026-09-23T23:59:39Z</dcterms:modified>
  <cp:revision>0</cp:revision>
  <dc:subject>Abiturnote berechnen – alle Bundesländer</dc:subject>
  <dc:title>Abi-Rechner für Excel – Abitur 2027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