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comments8.xml" ContentType="application/vnd.openxmlformats-officedocument.spreadsheetml.comments+xml"/>
  <Override PartName="/xl/theme/theme1.xml" ContentType="application/vnd.openxmlformats-officedocument.theme+xml"/>
  <Override PartName="/xl/comments6.xml" ContentType="application/vnd.openxmlformats-officedocument.spreadsheetml.comments+xml"/>
  <Override PartName="/xl/styles.xml" ContentType="application/vnd.openxmlformats-officedocument.spreadsheetml.styles+xml"/>
  <Override PartName="/xl/comments16.xml" ContentType="application/vnd.openxmlformats-officedocument.spreadsheetml.comments+xml"/>
  <Override PartName="/xl/comments5.xml" ContentType="application/vnd.openxmlformats-officedocument.spreadsheetml.comments+xml"/>
  <Override PartName="/xl/comments15.xml" ContentType="application/vnd.openxmlformats-officedocument.spreadsheetml.comments+xml"/>
  <Override PartName="/xl/comments4.xml" ContentType="application/vnd.openxmlformats-officedocument.spreadsheetml.comments+xml"/>
  <Override PartName="/xl/comments14.xml" ContentType="application/vnd.openxmlformats-officedocument.spreadsheetml.comments+xml"/>
  <Override PartName="/xl/comments11.xml" ContentType="application/vnd.openxmlformats-officedocument.spreadsheetml.comments+xml"/>
  <Override PartName="/xl/sharedStrings.xml" ContentType="application/vnd.openxmlformats-officedocument.spreadsheetml.sharedStrings+xml"/>
  <Override PartName="/xl/comments10.xml" ContentType="application/vnd.openxmlformats-officedocument.spreadsheetml.comments+xml"/>
  <Override PartName="/xl/workbook.xml" ContentType="application/vnd.openxmlformats-officedocument.spreadsheetml.sheet.main+xml"/>
  <Override PartName="/xl/comments7.xml" ContentType="application/vnd.openxmlformats-officedocument.spreadsheetml.comments+xml"/>
  <Override PartName="/xl/comments17.xml" ContentType="application/vnd.openxmlformats-officedocument.spreadsheetml.comments+xml"/>
  <Override PartName="/xl/drawings/vmlDrawing13.vml" ContentType="application/vnd.openxmlformats-officedocument.vmlDrawing"/>
  <Override PartName="/xl/drawings/vmlDrawing12.vml" ContentType="application/vnd.openxmlformats-officedocument.vmlDrawing"/>
  <Override PartName="/xl/drawings/vmlDrawing11.vml" ContentType="application/vnd.openxmlformats-officedocument.vmlDrawing"/>
  <Override PartName="/xl/drawings/vmlDrawing16.vml" ContentType="application/vnd.openxmlformats-officedocument.vmlDrawing"/>
  <Override PartName="/xl/drawings/vmlDrawing2.vml" ContentType="application/vnd.openxmlformats-officedocument.vmlDrawing"/>
  <Override PartName="/xl/drawings/vmlDrawing15.vml" ContentType="application/vnd.openxmlformats-officedocument.vmlDrawing"/>
  <Override PartName="/xl/drawings/vmlDrawing1.vml" ContentType="application/vnd.openxmlformats-officedocument.vmlDrawing"/>
  <Override PartName="/xl/drawings/vmlDrawing14.vml" ContentType="application/vnd.openxmlformats-officedocument.vmlDrawing"/>
  <Override PartName="/xl/drawings/vmlDrawing3.vml" ContentType="application/vnd.openxmlformats-officedocument.vmlDrawing"/>
  <Override PartName="/xl/drawings/vmlDrawing4.vml" ContentType="application/vnd.openxmlformats-officedocument.vmlDrawing"/>
  <Override PartName="/xl/drawings/vmlDrawing5.vml" ContentType="application/vnd.openxmlformats-officedocument.vmlDrawing"/>
  <Override PartName="/xl/drawings/vmlDrawing6.vml" ContentType="application/vnd.openxmlformats-officedocument.vmlDrawing"/>
  <Override PartName="/xl/drawings/vmlDrawing7.vml" ContentType="application/vnd.openxmlformats-officedocument.vmlDrawing"/>
  <Override PartName="/xl/drawings/vmlDrawing8.vml" ContentType="application/vnd.openxmlformats-officedocument.vmlDrawing"/>
  <Override PartName="/xl/drawings/vmlDrawing9.vml" ContentType="application/vnd.openxmlformats-officedocument.vmlDrawing"/>
  <Override PartName="/xl/drawings/vmlDrawing10.vml" ContentType="application/vnd.openxmlformats-officedocument.vmlDrawing"/>
  <Override PartName="/xl/comments13.xml" ContentType="application/vnd.openxmlformats-officedocument.spreadsheetml.comments+xml"/>
  <Override PartName="/xl/comments3.xml" ContentType="application/vnd.openxmlformats-officedocument.spreadsheetml.comments+xml"/>
  <Override PartName="/xl/comments9.xml" ContentType="application/vnd.openxmlformats-officedocument.spreadsheetml.comments+xml"/>
  <Override PartName="/xl/worksheets/_rels/sheet14.xml.rels" ContentType="application/vnd.openxmlformats-package.relationships+xml"/>
  <Override PartName="/xl/worksheets/_rels/sheet8.xml.rels" ContentType="application/vnd.openxmlformats-package.relationships+xml"/>
  <Override PartName="/xl/worksheets/_rels/sheet13.xml.rels" ContentType="application/vnd.openxmlformats-package.relationships+xml"/>
  <Override PartName="/xl/worksheets/_rels/sheet7.xml.rels" ContentType="application/vnd.openxmlformats-package.relationships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12.xml.rels" ContentType="application/vnd.openxmlformats-package.relationships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17.xml.rels" ContentType="application/vnd.openxmlformats-package.relationships+xml"/>
  <Override PartName="/xl/worksheets/_rels/sheet16.xml.rels" ContentType="application/vnd.openxmlformats-package.relationships+xml"/>
  <Override PartName="/xl/worksheets/_rels/sheet15.xml.rels" ContentType="application/vnd.openxmlformats-package.relationships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comments12.xml" ContentType="application/vnd.openxmlformats-officedocument.spreadsheetml.comments+xml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Baden-Württemberg" sheetId="2" state="visible" r:id="rId4"/>
    <sheet name="Bayern" sheetId="3" state="visible" r:id="rId5"/>
    <sheet name="Berlin" sheetId="4" state="visible" r:id="rId6"/>
    <sheet name="Brandenburg" sheetId="5" state="visible" r:id="rId7"/>
    <sheet name="Bremen" sheetId="6" state="visible" r:id="rId8"/>
    <sheet name="Hamburg" sheetId="7" state="visible" r:id="rId9"/>
    <sheet name="Hessen" sheetId="8" state="visible" r:id="rId10"/>
    <sheet name="Mecklenburg-Vorpommern" sheetId="9" state="visible" r:id="rId11"/>
    <sheet name="Niedersachsen" sheetId="10" state="visible" r:id="rId12"/>
    <sheet name="Nordrhein-Westfalen" sheetId="11" state="visible" r:id="rId13"/>
    <sheet name="Rheinland-Pfalz" sheetId="12" state="visible" r:id="rId14"/>
    <sheet name="Saarland" sheetId="13" state="visible" r:id="rId15"/>
    <sheet name="Sachsen" sheetId="14" state="visible" r:id="rId16"/>
    <sheet name="Sachsen-Anhalt" sheetId="15" state="visible" r:id="rId17"/>
    <sheet name="Schleswig-Holstein" sheetId="16" state="visible" r:id="rId18"/>
    <sheet name="Thüringen" sheetId="17" state="visible" r:id="rId19"/>
    <sheet name="Punktetabelle" sheetId="18" state="visible" r:id="rId20"/>
  </sheets>
  <definedNames>
    <definedName function="false" hidden="false" localSheetId="1" name="_xlnm.Print_Area" vbProcedure="false">'Baden-Württemberg'!$A$1:$N$40</definedName>
    <definedName function="false" hidden="false" localSheetId="2" name="_xlnm.Print_Area" vbProcedure="false">Bayern!$A$1:$N$41</definedName>
    <definedName function="false" hidden="false" localSheetId="3" name="_xlnm.Print_Area" vbProcedure="false">Berlin!$A$1:$N$40</definedName>
    <definedName function="false" hidden="false" localSheetId="4" name="_xlnm.Print_Area" vbProcedure="false">Brandenburg!$A$1:$N$40</definedName>
    <definedName function="false" hidden="false" localSheetId="5" name="_xlnm.Print_Area" vbProcedure="false">Bremen!$A$1:$N$41</definedName>
    <definedName function="false" hidden="false" localSheetId="6" name="_xlnm.Print_Area" vbProcedure="false">Hamburg!$A$1:$N$40</definedName>
    <definedName function="false" hidden="false" localSheetId="7" name="_xlnm.Print_Area" vbProcedure="false">Hessen!$A$1:$N$40</definedName>
    <definedName function="false" hidden="false" localSheetId="8" name="_xlnm.Print_Area" vbProcedure="false">'Mecklenburg-Vorpommern'!$A$1:$N$40</definedName>
    <definedName function="false" hidden="false" localSheetId="9" name="_xlnm.Print_Area" vbProcedure="false">Niedersachsen!$A$1:$N$40</definedName>
    <definedName function="false" hidden="false" localSheetId="10" name="_xlnm.Print_Area" vbProcedure="false">'Nordrhein-Westfalen'!$A$1:$N$40</definedName>
    <definedName function="false" hidden="false" localSheetId="17" name="_xlnm.Print_Area" vbProcedure="false">Punktetabelle!$A$1:$H$37</definedName>
    <definedName function="false" hidden="false" localSheetId="11" name="_xlnm.Print_Area" vbProcedure="false">'Rheinland-Pfalz'!$A$1:$N$40</definedName>
    <definedName function="false" hidden="false" localSheetId="12" name="_xlnm.Print_Area" vbProcedure="false">Saarland!$A$1:$N$39</definedName>
    <definedName function="false" hidden="false" localSheetId="13" name="_xlnm.Print_Area" vbProcedure="false">Sachsen!$A$1:$N$40</definedName>
    <definedName function="false" hidden="false" localSheetId="14" name="_xlnm.Print_Area" vbProcedure="false">'Sachsen-Anhalt'!$A$1:$N$40</definedName>
    <definedName function="false" hidden="false" localSheetId="15" name="_xlnm.Print_Area" vbProcedure="false">'Schleswig-Holstein'!$A$1:$N$40</definedName>
    <definedName function="false" hidden="false" localSheetId="16" name="_xlnm.Print_Area" vbProcedure="false">Thüringen!$A$1:$N$40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1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1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1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  <comment ref="E10" authorId="0">
      <text>
        <r>
          <rPr>
            <sz val="10"/>
            <rFont val="Arial"/>
            <family val="2"/>
          </rPr>
          <t xml:space="preserve">Freiwillig: Dieses Halbjahr kann eingebracht werden, muss aber nicht.</t>
        </r>
      </text>
    </comment>
    <comment ref="F10" authorId="0">
      <text>
        <r>
          <rPr>
            <sz val="10"/>
            <rFont val="Arial"/>
            <family val="2"/>
          </rPr>
          <t xml:space="preserve">Freiwillig: Dieses Halbjahr kann eingebracht werden, muss aber nicht.</t>
        </r>
      </text>
    </comment>
    <comment ref="G10" authorId="0">
      <text>
        <r>
          <rPr>
            <sz val="10"/>
            <rFont val="Arial"/>
            <family val="2"/>
          </rPr>
          <t xml:space="preserve">Freiwillig: Dieses Halbjahr kann eingebracht werden, muss aber nicht.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0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0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comments7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0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comments8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1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comments9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1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comments10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1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comments1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0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comments1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0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comments1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1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comments1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1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comments1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1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comments1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0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comments17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1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sharedStrings.xml><?xml version="1.0" encoding="utf-8"?>
<sst xmlns="http://schemas.openxmlformats.org/spreadsheetml/2006/main" count="4299" uniqueCount="539">
  <si>
    <t xml:space="preserve">Abi-Rechner für Excel – Abitur 2027</t>
  </si>
  <si>
    <t xml:space="preserve">Stand: September 2026 · kostenlos von abi-rechner.com · Regeln aller 16 Bundesländer mit Quellen</t>
  </si>
  <si>
    <t xml:space="preserve">So funktioniert’s</t>
  </si>
  <si>
    <t xml:space="preserve">1. Öffne das Blatt deines Bundeslandes (Links unten).</t>
  </si>
  <si>
    <t xml:space="preserve">2. Trag deine Punkte (0–15) in die gelben Felder ein: Halbjahre der Prüfungsfächer, Prüfungen und weitere Kurse.</t>
  </si>
  <si>
    <t xml:space="preserve">3. Markiere Kurse, die du einbringen MUSST, in der Spalte „Pflicht“ mit x. Den Rest wählt die Tabelle optimal aus.</t>
  </si>
  <si>
    <t xml:space="preserve">4. Rechts siehst du sofort Block I, Block II, Gesamtpunkte, Abiturnote und alle Bedingungen.</t>
  </si>
  <si>
    <t xml:space="preserve">5. Noch nicht alles bekannt? Leere Felder werden mit deinem bisherigen Schnitt gefüllt – das ist dann eine Prognose.</t>
  </si>
  <si>
    <t xml:space="preserve">Beispiel einer Eingabezeile</t>
  </si>
  <si>
    <t xml:space="preserve">Prüfungsfach</t>
  </si>
  <si>
    <t xml:space="preserve">HJ 1 – HJ 4</t>
  </si>
  <si>
    <t xml:space="preserve">Prüfung</t>
  </si>
  <si>
    <t xml:space="preserve">Ergebnis</t>
  </si>
  <si>
    <t xml:space="preserve">1. Prüfungsfach (Leistungskurs)</t>
  </si>
  <si>
    <t xml:space="preserve">11 · 12 · 10 · 13</t>
  </si>
  <si>
    <t xml:space="preserve">12</t>
  </si>
  <si>
    <t xml:space="preserve">Halbjahre grün = eingebracht, rot = Unterkurs</t>
  </si>
  <si>
    <t xml:space="preserve">Bundesländer</t>
  </si>
  <si>
    <t xml:space="preserve">Bundesland</t>
  </si>
  <si>
    <t xml:space="preserve">eingebr. Halbjahre</t>
  </si>
  <si>
    <t xml:space="preserve">Prüfungen</t>
  </si>
  <si>
    <t xml:space="preserve">Rechtsgrundlage</t>
  </si>
  <si>
    <t xml:space="preserve">Baden-Württemberg</t>
  </si>
  <si>
    <t xml:space="preserve">40</t>
  </si>
  <si>
    <t xml:space="preserve">5</t>
  </si>
  <si>
    <t xml:space="preserve">Abitur 2027 und 2028 (Kursstufe, AGVO)</t>
  </si>
  <si>
    <t xml:space="preserve">Bayern</t>
  </si>
  <si>
    <t xml:space="preserve">Abitur 2026/2027 (neues G9, GSO)</t>
  </si>
  <si>
    <t xml:space="preserve">Berlin</t>
  </si>
  <si>
    <t xml:space="preserve">32</t>
  </si>
  <si>
    <t xml:space="preserve">Abitur 2027 (VO-GO)</t>
  </si>
  <si>
    <t xml:space="preserve">Brandenburg</t>
  </si>
  <si>
    <t xml:space="preserve">38 / 36 (ab 2028)</t>
  </si>
  <si>
    <t xml:space="preserve">4 (+1 optional)</t>
  </si>
  <si>
    <t xml:space="preserve">Abitur 2027 (GOSTV Fassung 2021)</t>
  </si>
  <si>
    <t xml:space="preserve">Bremen</t>
  </si>
  <si>
    <t xml:space="preserve">Abitur 2027 (AP-V 2022)</t>
  </si>
  <si>
    <t xml:space="preserve">Hamburg</t>
  </si>
  <si>
    <t xml:space="preserve">32–40</t>
  </si>
  <si>
    <t xml:space="preserve">Abitur 2027 (APO-AH)</t>
  </si>
  <si>
    <t xml:space="preserve">Hessen</t>
  </si>
  <si>
    <t xml:space="preserve">Abitur 2027 (OAVO)</t>
  </si>
  <si>
    <t xml:space="preserve">Mecklenburg-Vorpommern</t>
  </si>
  <si>
    <t xml:space="preserve">36</t>
  </si>
  <si>
    <t xml:space="preserve">Abitur 2027 und 2028 (APVO M-V)</t>
  </si>
  <si>
    <t xml:space="preserve">Niedersachsen</t>
  </si>
  <si>
    <t xml:space="preserve">32–36</t>
  </si>
  <si>
    <t xml:space="preserve">Abitur 2027 (AVO-GOBAK)</t>
  </si>
  <si>
    <t xml:space="preserve">Nordrhein-Westfalen</t>
  </si>
  <si>
    <t xml:space="preserve">35–40</t>
  </si>
  <si>
    <t xml:space="preserve">Abitur 2027 (APO-GOSt)</t>
  </si>
  <si>
    <t xml:space="preserve">Rheinland-Pfalz</t>
  </si>
  <si>
    <t xml:space="preserve">Abitur 2027 und später (AbiPrO, MSS)</t>
  </si>
  <si>
    <t xml:space="preserve">Saarland</t>
  </si>
  <si>
    <t xml:space="preserve">Abitur 2027 (GOS-VO)</t>
  </si>
  <si>
    <t xml:space="preserve">Sachsen</t>
  </si>
  <si>
    <t xml:space="preserve">Abitur 2027 (SOGYA)</t>
  </si>
  <si>
    <t xml:space="preserve">Sachsen-Anhalt</t>
  </si>
  <si>
    <t xml:space="preserve">36–40</t>
  </si>
  <si>
    <t xml:space="preserve">Abitur 2027 (Oberstufenverordnung)</t>
  </si>
  <si>
    <t xml:space="preserve">Schleswig-Holstein</t>
  </si>
  <si>
    <t xml:space="preserve">Abitur 2027 und später (OAPVO)</t>
  </si>
  <si>
    <t xml:space="preserve">Thüringen</t>
  </si>
  <si>
    <t xml:space="preserve">Abitur 2027 und später (ThürSchulO)</t>
  </si>
  <si>
    <t xml:space="preserve">Gut zu wissen</t>
  </si>
  <si>
    <t xml:space="preserve">• Die Abiturnote wird bundesweit einheitlich aus der Gesamtpunktzahl (300–900) berechnet: Note = 17/3 − Punkte/180, auf eine Stelle abgeschnitten; ab 823 Punkten 1,0.</t>
  </si>
  <si>
    <t xml:space="preserve">• Die Umrechnungstabelle findest du im Blatt „Punktetabelle“.</t>
  </si>
  <si>
    <t xml:space="preserve">• Die Berechnung entspricht dem Online-Rechner auf abi-rechner.com (gleiche Regeln, gleiche Rundung).</t>
  </si>
  <si>
    <t xml:space="preserve">• Sonderfälle (z. B. Bilingualer Unterricht, Nachprüfungen, Fachwechsel) kann die Tabelle nicht abbilden – frag im Zweifel deine Oberstufenkoordination.</t>
  </si>
  <si>
    <t xml:space="preserve">• Alle Angaben ohne Gewähr. Maßgeblich sind die Oberstufenverordnungen der Länder in der für deinen Jahrgang gültigen Fassung.</t>
  </si>
  <si>
    <t xml:space="preserve">Online-Rechner, Statistiken, BAföG- und Notendurchschnittsrechner: https://www.abi-rechner.com</t>
  </si>
  <si>
    <t xml:space="preserve">Abi-Rechner Baden-Württemberg – Abitur 2027</t>
  </si>
  <si>
    <t xml:space="preserve">Hilfswerte (nicht ändern)</t>
  </si>
  <si>
    <t xml:space="preserve">sortA</t>
  </si>
  <si>
    <t xml:space="preserve">cumA</t>
  </si>
  <si>
    <t xml:space="preserve">sortF</t>
  </si>
  <si>
    <t xml:space="preserve">cumF</t>
  </si>
  <si>
    <t xml:space="preserve">Abitur 2027 und 2028 (Kursstufe, AGVO) · Stand: September 2026 · abi-rechner.com</t>
  </si>
  <si>
    <t xml:space="preserve">Schnitt Halbjahre (Prognose)</t>
  </si>
  <si>
    <t xml:space="preserve">n</t>
  </si>
  <si>
    <t xml:space="preserve">need_raw</t>
  </si>
  <si>
    <t xml:space="preserve">need</t>
  </si>
  <si>
    <t xml:space="preserve">take</t>
  </si>
  <si>
    <t xml:space="preserve">miss_pool</t>
  </si>
  <si>
    <t xml:space="preserve">virt</t>
  </si>
  <si>
    <t xml:space="preserve">cnt</t>
  </si>
  <si>
    <t xml:space="preserve">eaP</t>
  </si>
  <si>
    <t xml:space="preserve">mandS</t>
  </si>
  <si>
    <t xml:space="preserve">top</t>
  </si>
  <si>
    <t xml:space="preserve">P</t>
  </si>
  <si>
    <t xml:space="preserve">S</t>
  </si>
  <si>
    <t xml:space="preserve">pts</t>
  </si>
  <si>
    <t xml:space="preserve">uk</t>
  </si>
  <si>
    <t xml:space="preserve">ukmax</t>
  </si>
  <si>
    <t xml:space="preserve">gk_uk</t>
  </si>
  <si>
    <t xml:space="preserve">gkP</t>
  </si>
  <si>
    <t xml:space="preserve">c_min</t>
  </si>
  <si>
    <t xml:space="preserve">c_uk</t>
  </si>
  <si>
    <t xml:space="preserve">c_eauk</t>
  </si>
  <si>
    <t xml:space="preserve">c_gkuk</t>
  </si>
  <si>
    <t xml:space="preserve">c_eap</t>
  </si>
  <si>
    <t xml:space="preserve">c_gkp</t>
  </si>
  <si>
    <t xml:space="preserve">c_zero</t>
  </si>
  <si>
    <t xml:space="preserve">c_sp1</t>
  </si>
  <si>
    <t xml:space="preserve">c_sp2</t>
  </si>
  <si>
    <t xml:space="preserve">c_many</t>
  </si>
  <si>
    <t xml:space="preserve">valid</t>
  </si>
  <si>
    <t xml:space="preserve">miss</t>
  </si>
  <si>
    <t xml:space="preserve">score</t>
  </si>
  <si>
    <t xml:space="preserve">Gelbe Felder ausfüllen (Punkte 0–15). Leere Felder = noch offen → Prognose mit deinem Schnitt.</t>
  </si>
  <si>
    <t xml:space="preserve">Schnitt Prüfungen (Prognose)</t>
  </si>
  <si>
    <t xml:space="preserve">Eingaben vorhanden</t>
  </si>
  <si>
    <t xml:space="preserve">Fach</t>
  </si>
  <si>
    <t xml:space="preserve">HJ 1</t>
  </si>
  <si>
    <t xml:space="preserve">HJ 2</t>
  </si>
  <si>
    <t xml:space="preserve">HJ 3</t>
  </si>
  <si>
    <t xml:space="preserve">HJ 4</t>
  </si>
  <si>
    <t xml:space="preserve">mündl. Zusatz-prüfung</t>
  </si>
  <si>
    <t xml:space="preserve">Dein Ergebnis</t>
  </si>
  <si>
    <t xml:space="preserve">Pflicht-Halbjahre</t>
  </si>
  <si>
    <t xml:space="preserve">Pool A</t>
  </si>
  <si>
    <t xml:space="preserve">Pool F</t>
  </si>
  <si>
    <t xml:space="preserve">eingebracht</t>
  </si>
  <si>
    <t xml:space="preserve">A:sum13</t>
  </si>
  <si>
    <t xml:space="preserve">A:sum4</t>
  </si>
  <si>
    <t xml:space="preserve">A:cnt13</t>
  </si>
  <si>
    <t xml:space="preserve">A:cnt4</t>
  </si>
  <si>
    <t xml:space="preserve">A:uk</t>
  </si>
  <si>
    <t xml:space="preserve">A:zero</t>
  </si>
  <si>
    <t xml:space="preserve">A:miss</t>
  </si>
  <si>
    <t xml:space="preserve">A:allsum</t>
  </si>
  <si>
    <t xml:space="preserve">F:sum13</t>
  </si>
  <si>
    <t xml:space="preserve">F:sum4</t>
  </si>
  <si>
    <t xml:space="preserve">F:cnt13</t>
  </si>
  <si>
    <t xml:space="preserve">F:cnt4</t>
  </si>
  <si>
    <t xml:space="preserve">F:uk</t>
  </si>
  <si>
    <t xml:space="preserve">F:zero</t>
  </si>
  <si>
    <t xml:space="preserve">F:miss</t>
  </si>
  <si>
    <t xml:space="preserve">F:allsum</t>
  </si>
  <si>
    <t xml:space="preserve">A:s</t>
  </si>
  <si>
    <t xml:space="preserve">A:w</t>
  </si>
  <si>
    <t xml:space="preserve">A:good</t>
  </si>
  <si>
    <t xml:space="preserve">A:below</t>
  </si>
  <si>
    <t xml:space="preserve">F:s</t>
  </si>
  <si>
    <t xml:space="preserve">F:w</t>
  </si>
  <si>
    <t xml:space="preserve">F:good</t>
  </si>
  <si>
    <t xml:space="preserve">F:below</t>
  </si>
  <si>
    <t xml:space="preserve">1. Leistungsfach
schriftlich, erhöhtes Niveau · evtl. doppelt</t>
  </si>
  <si>
    <t xml:space="preserve">Abi</t>
  </si>
  <si>
    <t xml:space="preserve">Status</t>
  </si>
  <si>
    <t xml:space="preserve">fehlende Pflicht-Halbjahre</t>
  </si>
  <si>
    <t xml:space="preserve">2. Leistungsfach
schriftlich, erhöhtes Niveau · evtl. doppelt</t>
  </si>
  <si>
    <t xml:space="preserve">Block I – Qualifikationsphase</t>
  </si>
  <si>
    <t xml:space="preserve">von 600 (mind. 200)</t>
  </si>
  <si>
    <t xml:space="preserve">Pool Anzahl</t>
  </si>
  <si>
    <t xml:space="preserve">3. Leistungsfach
schriftlich, erhöhtes Niveau · evtl. doppelt</t>
  </si>
  <si>
    <t xml:space="preserve">Block II – Abiturprüfungen</t>
  </si>
  <si>
    <t xml:space="preserve">von 300 (mind. 100)</t>
  </si>
  <si>
    <t xml:space="preserve">Pool &gt;=5</t>
  </si>
  <si>
    <t xml:space="preserve">4. Prüfungsfach
mündlich (Basisfach)</t>
  </si>
  <si>
    <t xml:space="preserve">–</t>
  </si>
  <si>
    <t xml:space="preserve">Gesamtpunktzahl</t>
  </si>
  <si>
    <t xml:space="preserve">von 900 (mind. 300)</t>
  </si>
  <si>
    <t xml:space="preserve">UK eA (Pflicht)</t>
  </si>
  <si>
    <t xml:space="preserve">5. Prüfungsfach
mündlich oder besondere Lernleistung</t>
  </si>
  <si>
    <t xml:space="preserve">Abiturnote</t>
  </si>
  <si>
    <t xml:space="preserve">UK GK (Pflicht)</t>
  </si>
  <si>
    <t xml:space="preserve">Weitere Kurse</t>
  </si>
  <si>
    <t xml:space="preserve">Pflicht (x)</t>
  </si>
  <si>
    <t xml:space="preserve">Bis zur nächsten besseren Note</t>
  </si>
  <si>
    <t xml:space="preserve">Summe GK (Pflicht)</t>
  </si>
  <si>
    <t xml:space="preserve">open</t>
  </si>
  <si>
    <t xml:space="preserve">pflicht</t>
  </si>
  <si>
    <t xml:space="preserve">A:sum</t>
  </si>
  <si>
    <t xml:space="preserve">A:cnt</t>
  </si>
  <si>
    <t xml:space="preserve">F:sum</t>
  </si>
  <si>
    <t xml:space="preserve">F:cnt</t>
  </si>
  <si>
    <t xml:space="preserve">Kurs 1</t>
  </si>
  <si>
    <t xml:space="preserve">Puffer bis zur schlechteren Note</t>
  </si>
  <si>
    <t xml:space="preserve">Pflicht-HJ mit 0 Punkten</t>
  </si>
  <si>
    <t xml:space="preserve">Kurs 2</t>
  </si>
  <si>
    <t xml:space="preserve">Eingebrachte Halbjahre</t>
  </si>
  <si>
    <t xml:space="preserve">beste Variante A</t>
  </si>
  <si>
    <t xml:space="preserve">Kurs 3</t>
  </si>
  <si>
    <t xml:space="preserve">Unterkurse (unter 5 Punkten)</t>
  </si>
  <si>
    <t xml:space="preserve">beste Variante F</t>
  </si>
  <si>
    <t xml:space="preserve">Kurs 4</t>
  </si>
  <si>
    <t xml:space="preserve">Hebel: +1 Punkt in einer Prüfung</t>
  </si>
  <si>
    <t xml:space="preserve">Gesamtpunkte</t>
  </si>
  <si>
    <t xml:space="preserve">Faktor Prüfungen</t>
  </si>
  <si>
    <t xml:space="preserve">Kurs 5</t>
  </si>
  <si>
    <t xml:space="preserve">Hebel: +1 Punkt in einem Halbjahr</t>
  </si>
  <si>
    <t xml:space="preserve">Gesamtpunkte (einfach gewertetes HJ)</t>
  </si>
  <si>
    <t xml:space="preserve">Block II A</t>
  </si>
  <si>
    <t xml:space="preserve">Kurs 6</t>
  </si>
  <si>
    <t xml:space="preserve">&gt;=5 Punkte A</t>
  </si>
  <si>
    <t xml:space="preserve">Kurs 7</t>
  </si>
  <si>
    <t xml:space="preserve">Bedingungen für die Zulassung / das Bestehen</t>
  </si>
  <si>
    <t xml:space="preserve">Wert</t>
  </si>
  <si>
    <t xml:space="preserve">&gt;=5 in Pflichtfächern A</t>
  </si>
  <si>
    <t xml:space="preserve">Kurs 8</t>
  </si>
  <si>
    <t xml:space="preserve">Block I mindestens 200 Punkte</t>
  </si>
  <si>
    <t xml:space="preserve">Prüfung 0 A</t>
  </si>
  <si>
    <t xml:space="preserve">Kurs 9</t>
  </si>
  <si>
    <t xml:space="preserve">unter Mindestpunktzahl A</t>
  </si>
  <si>
    <t xml:space="preserve">Kurs 10</t>
  </si>
  <si>
    <t xml:space="preserve">Höchstens 3 Unterkurse in den Leistungs-/eA-Fächern</t>
  </si>
  <si>
    <t xml:space="preserve">Block II F</t>
  </si>
  <si>
    <t xml:space="preserve">Kurs 11</t>
  </si>
  <si>
    <t xml:space="preserve">Keine Pflicht-Halbjahre mit 0 Punkten</t>
  </si>
  <si>
    <t xml:space="preserve">&gt;=5 Punkte F</t>
  </si>
  <si>
    <t xml:space="preserve">Kurs 12</t>
  </si>
  <si>
    <t xml:space="preserve">Nicht mehr Pflichtkurse markiert, als eingebracht werden dürfen</t>
  </si>
  <si>
    <t xml:space="preserve">&gt;=5 in Pflichtfächern F</t>
  </si>
  <si>
    <t xml:space="preserve">Kurs 13</t>
  </si>
  <si>
    <t xml:space="preserve">Block II mindestens 100 Punkte</t>
  </si>
  <si>
    <t xml:space="preserve">Prüfung 0 F</t>
  </si>
  <si>
    <t xml:space="preserve">Kurs 14</t>
  </si>
  <si>
    <t xml:space="preserve">unter Mindestpunktzahl F</t>
  </si>
  <si>
    <t xml:space="preserve">Keine Prüfung unter der Mindestpunktzahl (1 Punkt einfach)</t>
  </si>
  <si>
    <t xml:space="preserve">nötige Prüfungen &gt;=5</t>
  </si>
  <si>
    <t xml:space="preserve">Gesamtpunktzahl mindestens 300</t>
  </si>
  <si>
    <t xml:space="preserve">fehlende Prüfungen</t>
  </si>
  <si>
    <t xml:space="preserve">Die Regeln in Baden-Württemberg kurz erklärt</t>
  </si>
  <si>
    <t xml:space="preserve">B2 Bedingung 0 A</t>
  </si>
  <si>
    <t xml:space="preserve">• 40 Kurse in Block I, zwei der drei Leistungsfächer zählen doppelt (der Rechner wählt die besten zwei).</t>
  </si>
  <si>
    <t xml:space="preserve">Legende</t>
  </si>
  <si>
    <t xml:space="preserve">B2 Bedingung 1 A</t>
  </si>
  <si>
    <t xml:space="preserve">• Block I = Punktsumme × 40 / 48, kaufmännisch gerundet.</t>
  </si>
  <si>
    <t xml:space="preserve">Eingabefeld (Punkte 0–15)</t>
  </si>
  <si>
    <t xml:space="preserve">B2 Bedingung 2 A</t>
  </si>
  <si>
    <t xml:space="preserve">• Höchstens 8 Unterkurse (unter 5 Punkten), davon höchstens 3 in den Leistungsfächern; keine 0 Punkte.</t>
  </si>
  <si>
    <t xml:space="preserve">Halbjahr wird eingebracht</t>
  </si>
  <si>
    <t xml:space="preserve">B2 gültig A</t>
  </si>
  <si>
    <t xml:space="preserve">• Block II: 3 schriftliche + 2 mündliche Prüfungen, jeweils vierfach.</t>
  </si>
  <si>
    <t xml:space="preserve">eingebracht, aber Unterkurs (unter 5 Punkten)</t>
  </si>
  <si>
    <t xml:space="preserve">B2 Bedingung 0 F</t>
  </si>
  <si>
    <t xml:space="preserve">• Bestehen Block II: mind. 100 Punkte, in 3 Fächern (darunter 2 Leistungsfächer) mind. 5 Punkte einfach, kein Fach mit 0 Punkten.</t>
  </si>
  <si>
    <t xml:space="preserve">wird nicht eingebracht (Streichergebnis)</t>
  </si>
  <si>
    <t xml:space="preserve">B2 Bedingung 1 F</t>
  </si>
  <si>
    <t xml:space="preserve">B2 Bedingung 2 F</t>
  </si>
  <si>
    <t xml:space="preserve">Quelle: KM Baden-Württemberg: Leitfaden gymnasiale Oberstufe Abitur 2027</t>
  </si>
  <si>
    <t xml:space="preserve">Die Tabelle wählt automatisch die günstigsten Halbjahre aus.</t>
  </si>
  <si>
    <t xml:space="preserve">B2 gültig F</t>
  </si>
  <si>
    <t xml:space="preserve">https://km.baden-wuerttemberg.de/fileadmin/redaktion/m-km/intern/PDF/Publikationen/Gymnasium/2025_Leitfaden_fuer_die_gymnasiale_Oberstufe_Abitur_2027.pdf</t>
  </si>
  <si>
    <t xml:space="preserve">Blattschutz ohne Passwort: Überprüfen → Blatt schützen aufheben.</t>
  </si>
  <si>
    <t xml:space="preserve">fehlende Eingaben</t>
  </si>
  <si>
    <t xml:space="preserve">vollständig</t>
  </si>
  <si>
    <t xml:space="preserve">Online-Rechner Baden-Württemberg mit Statistik und PDF-Download: https://www.abi-rechner.com/bundeslander/baden-wuerttemberg/</t>
  </si>
  <si>
    <t xml:space="preserve">m_pts</t>
  </si>
  <si>
    <t xml:space="preserve">Alle Angaben ohne Gewähr. Maßgeblich ist die Oberstufenverordnung deines Landes und die Auskunft deiner Schule.</t>
  </si>
  <si>
    <t xml:space="preserve">m_cnt</t>
  </si>
  <si>
    <t xml:space="preserve">m_uk</t>
  </si>
  <si>
    <t xml:space="preserve">m_ukmax</t>
  </si>
  <si>
    <t xml:space="preserve">m_gk_uk</t>
  </si>
  <si>
    <t xml:space="preserve">m_eaP</t>
  </si>
  <si>
    <t xml:space="preserve">m_gkP</t>
  </si>
  <si>
    <t xml:space="preserve">m_S</t>
  </si>
  <si>
    <t xml:space="preserve">m_P</t>
  </si>
  <si>
    <t xml:space="preserve">m_take</t>
  </si>
  <si>
    <t xml:space="preserve">m_valid</t>
  </si>
  <si>
    <t xml:space="preserve">m_c_min</t>
  </si>
  <si>
    <t xml:space="preserve">m_c_uk</t>
  </si>
  <si>
    <t xml:space="preserve">m_c_eauk</t>
  </si>
  <si>
    <t xml:space="preserve">m_c_gkuk</t>
  </si>
  <si>
    <t xml:space="preserve">m_c_eap</t>
  </si>
  <si>
    <t xml:space="preserve">m_c_gkp</t>
  </si>
  <si>
    <t xml:space="preserve">m_c_zero</t>
  </si>
  <si>
    <t xml:space="preserve">m_c_sp1</t>
  </si>
  <si>
    <t xml:space="preserve">m_c_sp2</t>
  </si>
  <si>
    <t xml:space="preserve">m_c_many</t>
  </si>
  <si>
    <t xml:space="preserve">m_dset</t>
  </si>
  <si>
    <t xml:space="preserve">m_ea_uk</t>
  </si>
  <si>
    <t xml:space="preserve">m_b2</t>
  </si>
  <si>
    <t xml:space="preserve">m_b2good</t>
  </si>
  <si>
    <t xml:space="preserve">m_b2c0</t>
  </si>
  <si>
    <t xml:space="preserve">m_b2c1</t>
  </si>
  <si>
    <t xml:space="preserve">m_b2c2</t>
  </si>
  <si>
    <t xml:space="preserve">m_b2valid</t>
  </si>
  <si>
    <t xml:space="preserve">mind. 300</t>
  </si>
  <si>
    <t xml:space="preserve">bestanden</t>
  </si>
  <si>
    <t xml:space="preserve">Note in Zehnteln</t>
  </si>
  <si>
    <t xml:space="preserve">Punkte bis bessere Note</t>
  </si>
  <si>
    <t xml:space="preserve">Puffer</t>
  </si>
  <si>
    <t xml:space="preserve">Abi-Rechner Bayern – Abitur 2027</t>
  </si>
  <si>
    <t xml:space="preserve">Abitur 2026/2027 (neues G9, GSO) · Stand: September 2026 · abi-rechner.com</t>
  </si>
  <si>
    <t xml:space="preserve">1. Abiturfach
Deutsch, erhöhtes Niveau</t>
  </si>
  <si>
    <t xml:space="preserve">2. Abiturfach
Mathematik, erhöhtes Niveau</t>
  </si>
  <si>
    <t xml:space="preserve">3. Abiturfach
Leistungsfach, erhöhtes Niveau</t>
  </si>
  <si>
    <t xml:space="preserve">4. Abiturfach
Kolloquium (mündlich)</t>
  </si>
  <si>
    <t xml:space="preserve">5. Abiturfach
Kolloquium (mündlich)</t>
  </si>
  <si>
    <t xml:space="preserve">Zusatzleistung</t>
  </si>
  <si>
    <t xml:space="preserve">Zusatzleistung vorhanden</t>
  </si>
  <si>
    <t xml:space="preserve">Zusatzleistung fehlt</t>
  </si>
  <si>
    <t xml:space="preserve">Gesamtpunkt (Pflicht-/eingebrachtes HJ)</t>
  </si>
  <si>
    <t xml:space="preserve">UK Zusatzleistung</t>
  </si>
  <si>
    <t xml:space="preserve">by48</t>
  </si>
  <si>
    <t xml:space="preserve">by100</t>
  </si>
  <si>
    <t xml:space="preserve">Deutsch, Mathematik und Leistungsfach zusammen mindestens 48 Punkte</t>
  </si>
  <si>
    <t xml:space="preserve">Die 5 Abiturfächer (Halbjahre) zusammen mindestens 100 Punkte</t>
  </si>
  <si>
    <t xml:space="preserve">W-Seminararbeit (Gesamtleistung)
0–30 Punkte, zählt wie 2 Halbjahresleistungen</t>
  </si>
  <si>
    <t xml:space="preserve">0–30</t>
  </si>
  <si>
    <t xml:space="preserve">Die Regeln in Bayern kurz erklärt</t>
  </si>
  <si>
    <t xml:space="preserve">• 40 Halbjahresleistungen werden einfach addiert – auch das Leistungsfach zählt nicht doppelt.</t>
  </si>
  <si>
    <t xml:space="preserve">• Die W-Seminararbeit (0–30 Punkte) zählt wie 2 Halbjahresleistungen.</t>
  </si>
  <si>
    <t xml:space="preserve">• Höchstens 8 Halbjahresleistungen unter 5 Punkten, keine mit 0 Punkten.</t>
  </si>
  <si>
    <t xml:space="preserve">• In Deutsch, Mathematik und Leistungsfach zusammen mind. 48 Punkte; in den 5 Abiturfächern mind. 100 Punkte (Halbjahre).</t>
  </si>
  <si>
    <t xml:space="preserve">• Block II: 5 Abiturprüfungen (3 schriftlich, 2 Kolloquien), jeweils vierfach; keine Prüfung unter 1 Punkt.</t>
  </si>
  <si>
    <t xml:space="preserve">Quelle: GSO Bayern §§ 44, 52–54</t>
  </si>
  <si>
    <t xml:space="preserve">https://www.gesetze-bayern.de/Content/Document/BayGSO-44</t>
  </si>
  <si>
    <t xml:space="preserve">Online-Rechner Bayern mit Statistik und PDF-Download: https://www.abi-rechner.com/bundeslander/bayern/</t>
  </si>
  <si>
    <t xml:space="preserve">m_by48</t>
  </si>
  <si>
    <t xml:space="preserve">m_by100</t>
  </si>
  <si>
    <t xml:space="preserve">Abi-Rechner Berlin – Abitur 2027</t>
  </si>
  <si>
    <t xml:space="preserve">Abitur 2027 (VO-GO) · Stand: September 2026 · abi-rechner.com</t>
  </si>
  <si>
    <t xml:space="preserve">1. Prüfungsfach
Leistungskurs, schriftlich · zählt doppelt</t>
  </si>
  <si>
    <t xml:space="preserve">2. Prüfungsfach
Leistungskurs, schriftlich · zählt doppelt</t>
  </si>
  <si>
    <t xml:space="preserve">3. Prüfungsfach
Grundkurs, schriftlich</t>
  </si>
  <si>
    <t xml:space="preserve">4. Prüfungsfach
Grundkurs, mündlich</t>
  </si>
  <si>
    <t xml:space="preserve">5. Prüfungskomponente
Präsentationsprüfung oder BLL – Kurse: mind. der letzte</t>
  </si>
  <si>
    <t xml:space="preserve">Grenzen siehe Bedingungen</t>
  </si>
  <si>
    <t xml:space="preserve">Höchstens 2 Unterkurse in den Leistungs-/eA-Fächern</t>
  </si>
  <si>
    <t xml:space="preserve">Höchstens 4 Unterkurse in den Grundkursen</t>
  </si>
  <si>
    <t xml:space="preserve">Leistungskurse mindestens 80 Punkte (doppelt gewertet)</t>
  </si>
  <si>
    <t xml:space="preserve">Grundkurse mindestens 120 Punkte</t>
  </si>
  <si>
    <t xml:space="preserve">Die Regeln in Berlin kurz erklärt</t>
  </si>
  <si>
    <t xml:space="preserve">• 8 Leistungskurse (doppelt) + 24 Grundkurse (einfach) = Block I, keine Umrechnung.</t>
  </si>
  <si>
    <t xml:space="preserve">• Grundkurse: mind. 120 Punkte, höchstens 4 unter 5 Punkten. Leistungskurse: mind. 80 Punkte (doppelt), höchstens 2 unter 5 Punkten.</t>
  </si>
  <si>
    <t xml:space="preserve">• Keine Kurse mit 0 Punkten.</t>
  </si>
  <si>
    <t xml:space="preserve">• Block II: 4 Prüfungsfächer + 5. Prüfungskomponente, jeweils vierfach.</t>
  </si>
  <si>
    <t xml:space="preserve">• Bestehen Block II: mind. 100 Punkte, in 2 Fächern (darunter ein LK) mind. 5 Punkte einfach.</t>
  </si>
  <si>
    <t xml:space="preserve">Quelle: VO-GO Berlin §§ 26, 45</t>
  </si>
  <si>
    <t xml:space="preserve">https://www.schulgesetz-berlin.de/berlin/verordnung-ueber-die-gymnasiale-oberstufe/teil-iii-durchfuehrung-der-gymnasialen-oberstufe/kapitel-3-qualifikationsphase/sect-26-gesamtqualifikation.php</t>
  </si>
  <si>
    <t xml:space="preserve">Online-Rechner Berlin mit Statistik und PDF-Download: https://www.abi-rechner.com/bundeslander/berlin/</t>
  </si>
  <si>
    <t xml:space="preserve">Abi-Rechner Brandenburg – Abitur 2027</t>
  </si>
  <si>
    <t xml:space="preserve">Abiturjahrgang (2027 oder 2028 und später)</t>
  </si>
  <si>
    <t xml:space="preserve">2027</t>
  </si>
  <si>
    <t xml:space="preserve">optionale Prüfung</t>
  </si>
  <si>
    <t xml:space="preserve">Besondere Lernleistung
optional – dann zählen alle Prüfungen vierfach</t>
  </si>
  <si>
    <t xml:space="preserve">optional</t>
  </si>
  <si>
    <t xml:space="preserve">Keine Prüfung mit 0 Punkten</t>
  </si>
  <si>
    <t xml:space="preserve">Die Regeln in Brandenburg kurz erklärt</t>
  </si>
  <si>
    <t xml:space="preserve">• Höchstens 3 LK-Halbjahre und 4 GK-Halbjahre unter 5 Punkten, keine 0 Punkte.</t>
  </si>
  <si>
    <t xml:space="preserve">• Block II: 4 Prüfungen fünffach – mit besonderer Lernleistung 5 Prüfungen vierfach.</t>
  </si>
  <si>
    <t xml:space="preserve">• Bestehen Block II: mind. 100 Punkte, in 3 Prüfungen mind. 5 Punkte, keine Prüfung mit 0 Punkten.</t>
  </si>
  <si>
    <t xml:space="preserve">Quelle: GOSTV Brandenburg § 30, Anlage 1</t>
  </si>
  <si>
    <t xml:space="preserve">https://bravors.brandenburg.de/verordnungen/gostv/9</t>
  </si>
  <si>
    <t xml:space="preserve">Online-Rechner Brandenburg mit Statistik und PDF-Download: https://www.abi-rechner.com/bundeslander/brandenburg/</t>
  </si>
  <si>
    <t xml:space="preserve">Abi-Rechner Bremen – Abitur 2027</t>
  </si>
  <si>
    <t xml:space="preserve">Abitur 2027 (AP-V 2022) · Stand: September 2026 · abi-rechner.com</t>
  </si>
  <si>
    <t xml:space="preserve">Projektarbeit
0–15 Punkte, zählt doppelt</t>
  </si>
  <si>
    <t xml:space="preserve">0–15</t>
  </si>
  <si>
    <t xml:space="preserve">Die Regeln in Bremen kurz erklärt</t>
  </si>
  <si>
    <t xml:space="preserve">• 24 Grundkurse + 8 Leistungskurse; LK-Kurse aus Q1–Q3 zählen doppelt, das 4. LK-Halbjahr nur einfach.</t>
  </si>
  <si>
    <t xml:space="preserve">• Die Projektarbeit zählt doppelt. Block I ist damit direkt die gewichtete Punktsumme (max. 600).</t>
  </si>
  <si>
    <t xml:space="preserve">• Höchstens 6 Kurse unter 5 Punkten, davon höchstens 2 Leistungskurse; keine 0 Punkte.</t>
  </si>
  <si>
    <t xml:space="preserve">• Block II: 4 Prüfungen fünffach, mit besonderer Lernleistung alle vierfach.</t>
  </si>
  <si>
    <t xml:space="preserve">Quelle: AP-V Bremen §§ 8, 18</t>
  </si>
  <si>
    <t xml:space="preserve">https://www.transparenz.bremen.de/sixcms/detail.php?gsid=bremen2014_tp.c.192657.de&amp;template=00_html_to_pdf_d</t>
  </si>
  <si>
    <t xml:space="preserve">Online-Rechner Bremen mit Statistik und PDF-Download: https://www.abi-rechner.com/bundeslander/bremen/</t>
  </si>
  <si>
    <t xml:space="preserve">Abi-Rechner Hamburg – Abitur 2027</t>
  </si>
  <si>
    <t xml:space="preserve">Abitur 2027 (APO-AH) · Stand: September 2026 · abi-rechner.com</t>
  </si>
  <si>
    <t xml:space="preserve">1. Prüfungsfach
profilgebendes Fach, erhöhtes Niveau · zählt doppelt</t>
  </si>
  <si>
    <t xml:space="preserve">2. Prüfungsfach
Kernfach, erhöhtes Niveau · zählt doppelt</t>
  </si>
  <si>
    <t xml:space="preserve">3. Prüfungsfach
schriftlich</t>
  </si>
  <si>
    <t xml:space="preserve">4. Prüfungsfach
mündlich oder Präsentationsprüfung</t>
  </si>
  <si>
    <t xml:space="preserve">Die Regeln in Hamburg kurz erklärt</t>
  </si>
  <si>
    <t xml:space="preserve">• 32 bis 40 Semesterergebnisse; profilgebendes Fach und ein eA-Kernfach zählen doppelt.</t>
  </si>
  <si>
    <t xml:space="preserve">• Block I = Punktsumme / Anzahl × 40, kaufmännisch gerundet (der Rechner wählt die beste Anzahl).</t>
  </si>
  <si>
    <t xml:space="preserve">• Höchstens ein Fünftel der Ergebnisse unter 5 Punkten, keine 0 Punkte.</t>
  </si>
  <si>
    <t xml:space="preserve">• Block II: 4 Prüfungen fünffach, mit besonderer Lernleistung vierfach.</t>
  </si>
  <si>
    <t xml:space="preserve">• Bestehen Block II: mind. 100 Punkte, in 2 Fächern (darunter ein eA-Fach) mind. 5 Punkte.</t>
  </si>
  <si>
    <t xml:space="preserve">Quelle: APO-AH Hamburg § 32, Anlage 4</t>
  </si>
  <si>
    <t xml:space="preserve">https://www.hamburg.de/resource/blob/133942/83622ebebbcb4b771d65dc3b1f1a3996/bsb-apo-ah-18-03-2009-data.pdf</t>
  </si>
  <si>
    <t xml:space="preserve">Online-Rechner Hamburg mit Statistik und PDF-Download: https://www.abi-rechner.com/bundeslander/hamburg/</t>
  </si>
  <si>
    <t xml:space="preserve">Abi-Rechner Hessen – Abitur 2027</t>
  </si>
  <si>
    <t xml:space="preserve">Abitur 2027 (OAVO) · Stand: September 2026 · abi-rechner.com</t>
  </si>
  <si>
    <t xml:space="preserve">5. Prüfungsfach
Präsentation, BLL oder mündlich</t>
  </si>
  <si>
    <t xml:space="preserve">Die Regeln in Hessen kurz erklärt</t>
  </si>
  <si>
    <t xml:space="preserve">• 8 Leistungskurse (doppelt) + 24 Grundkurse, direkt addiert.</t>
  </si>
  <si>
    <t xml:space="preserve">• Mindestens 80 Punkte im LK-Bereich und 120 Punkte im GK-Bereich.</t>
  </si>
  <si>
    <t xml:space="preserve">• Höchstens 6 Kurse unter 5 Punkten, davon höchstens 2 LK-Kurse; keine 0 Punkte.</t>
  </si>
  <si>
    <t xml:space="preserve">• Block II: 5 Prüfungsfächer, jeweils vierfach.</t>
  </si>
  <si>
    <t xml:space="preserve">• Bestehen Block II: mind. 100 Punkte, in 3 Fächern (darunter ein LK) mind. 5 Punkte, kein Fach mit 0 Punkten.</t>
  </si>
  <si>
    <t xml:space="preserve">Quelle: OAVO Hessen § 26</t>
  </si>
  <si>
    <t xml:space="preserve">https://www.rv.hessenrecht.hessen.de/bshe/document/hevr-OSt_AbiVHEV14IVZ</t>
  </si>
  <si>
    <t xml:space="preserve">Online-Rechner Hessen mit Statistik und PDF-Download: https://www.abi-rechner.com/bundeslander/hessen/</t>
  </si>
  <si>
    <t xml:space="preserve">Abi-Rechner Mecklenburg-Vorpommern – Abitur 2027</t>
  </si>
  <si>
    <t xml:space="preserve">Abitur 2027 und 2028 (APVO M-V) · Stand: September 2026 · abi-rechner.com</t>
  </si>
  <si>
    <t xml:space="preserve">5. Prüfungsfach
Grundkurs, mündlich</t>
  </si>
  <si>
    <t xml:space="preserve">Die Regeln in Mecklenburg-Vorpommern kurz erklärt</t>
  </si>
  <si>
    <t xml:space="preserve">• 8 LK-Halbjahre (doppelt) + 28 GK-Halbjahre = 36 Ergebnisse.</t>
  </si>
  <si>
    <t xml:space="preserve">• Block I = Punktsumme / 44 × 40, ab ,5 aufgerundet.</t>
  </si>
  <si>
    <t xml:space="preserve">• Mindestens 29 der 36 Halbjahre mit 5 Punkten (höchstens 7 Unterkurse); 0 Punkte nicht einbringbar.</t>
  </si>
  <si>
    <t xml:space="preserve">• Bestehen Block II: mind. 100 Punkte, in 3 Fächern (darunter PF1 oder PF2) mind. 5 Punkte.</t>
  </si>
  <si>
    <t xml:space="preserve">Quelle: APVO M-V § 43</t>
  </si>
  <si>
    <t xml:space="preserve">https://www.landesrecht-mv.de/bsmv/document/jlr-AbiPrVMVrahmen</t>
  </si>
  <si>
    <t xml:space="preserve">Online-Rechner Mecklenburg-Vorpommern mit Statistik und PDF-Download: https://www.abi-rechner.com/bundeslander/mecklenburg-vorpommern/</t>
  </si>
  <si>
    <t xml:space="preserve">Abi-Rechner Niedersachsen – Abitur 2027</t>
  </si>
  <si>
    <t xml:space="preserve">Abitur 2027 (AVO-GOBAK) · Stand: September 2026 · abi-rechner.com</t>
  </si>
  <si>
    <t xml:space="preserve">1. Prüfungsfach
erhöhtes Niveau, schriftlich · zählt doppelt</t>
  </si>
  <si>
    <t xml:space="preserve">2. Prüfungsfach
erhöhtes Niveau, schriftlich · zählt doppelt</t>
  </si>
  <si>
    <t xml:space="preserve">3. Prüfungsfach
erhöhtes Niveau, schriftlich</t>
  </si>
  <si>
    <t xml:space="preserve">4. Prüfungsfach
grundlegendes Niveau, schriftlich</t>
  </si>
  <si>
    <t xml:space="preserve">5. Prüfungsfach
mündlich oder Präsentationsprüfung</t>
  </si>
  <si>
    <t xml:space="preserve">Die Regeln in Niedersachsen kurz erklärt</t>
  </si>
  <si>
    <t xml:space="preserve">• 32 bis 36 Schulhalbjahresergebnisse; nur das 1. und 2. Prüfungsfach zählen doppelt.</t>
  </si>
  <si>
    <t xml:space="preserve">• Block I = Punktsumme / Anzahl × 40, mathematisch gerundet (der Rechner wählt die beste Anzahl).</t>
  </si>
  <si>
    <t xml:space="preserve">• Höchstens 6 bzw. 7 Unterkurse (je nach Anzahl), in P1–P3 höchstens 3; keine 0 Punkte.</t>
  </si>
  <si>
    <t xml:space="preserve">• Bestehen Block II: mind. 100 Punkte, in 3 Prüfungsfächern mind. 5 Punkte.</t>
  </si>
  <si>
    <t xml:space="preserve">Quelle: AVO-GOBAK Niedersachsen § 15, Anlage 2</t>
  </si>
  <si>
    <t xml:space="preserve">https://www.mk.niedersachsen.de/download/110382/AVO-GOBAK_und_EB-AVO-GOBAK_Maerz_2025.pdf</t>
  </si>
  <si>
    <t xml:space="preserve">Online-Rechner Niedersachsen mit Statistik und PDF-Download: https://www.abi-rechner.com/bundeslander/niedersachsen/</t>
  </si>
  <si>
    <t xml:space="preserve">Abi-Rechner Nordrhein-Westfalen – Abitur 2027</t>
  </si>
  <si>
    <t xml:space="preserve">Abitur 2027 (APO-GOSt) · Stand: September 2026 · abi-rechner.com</t>
  </si>
  <si>
    <t xml:space="preserve">Die Regeln in Nordrhein-Westfalen kurz erklärt</t>
  </si>
  <si>
    <t xml:space="preserve">• 35 bis 40 Kurse, davon 8 Leistungskurse (doppelt).</t>
  </si>
  <si>
    <t xml:space="preserve">• Höchstens 7 Defizite (bei 38–40 Kursen 8), davon höchstens 3 im LK; 0 Punkte nicht anrechenbar.</t>
  </si>
  <si>
    <t xml:space="preserve">• Block II: 4 Abiturfächer fünffach, mit besonderer Lernleistung vierfach.</t>
  </si>
  <si>
    <t xml:space="preserve">Quelle: APO-GOSt NRW §§ 28, 29</t>
  </si>
  <si>
    <t xml:space="preserve">https://recht.nrw.de/lrgv/rechtsverordnung/01082025-verordnung-ueber-den-bildungsgang-und-die-abiturpruefung-der/</t>
  </si>
  <si>
    <t xml:space="preserve">Online-Rechner Nordrhein-Westfalen mit Statistik und PDF-Download: https://www.abi-rechner.com/bundeslander/nordrhein-westfalen/</t>
  </si>
  <si>
    <t xml:space="preserve">Abi-Rechner Rheinland-Pfalz – Abitur 2027</t>
  </si>
  <si>
    <t xml:space="preserve">Abitur 2027 und später (AbiPrO, MSS) · Stand: September 2026 · abi-rechner.com</t>
  </si>
  <si>
    <t xml:space="preserve">1. Prüfungsfach
Leistungsfach, schriftlich · evtl. doppelt</t>
  </si>
  <si>
    <t xml:space="preserve">2. Prüfungsfach
Leistungsfach, schriftlich · evtl. doppelt</t>
  </si>
  <si>
    <t xml:space="preserve">3. Prüfungsfach
Leistungsfach, schriftlich · evtl. doppelt</t>
  </si>
  <si>
    <t xml:space="preserve">4. Prüfungsfach
Grundfach, mündlich</t>
  </si>
  <si>
    <t xml:space="preserve">5. Prüfungsfach / BLL
optional – dann zählen alle Prüfungen vierfach</t>
  </si>
  <si>
    <t xml:space="preserve">Die Regeln in Rheinland-Pfalz kurz erklärt</t>
  </si>
  <si>
    <t xml:space="preserve">• 36 Kurse; zwei der drei Leistungsfächer zählen doppelt (die mit der höchsten Punktsumme).</t>
  </si>
  <si>
    <t xml:space="preserve">• Block I = Punktsumme / 44 × 40, mathematisch gerundet.</t>
  </si>
  <si>
    <t xml:space="preserve">• Höchstens 7 Kurse unter 5 Punkten; keine 0 Punkte.</t>
  </si>
  <si>
    <t xml:space="preserve">• Block II: 4 Prüfungsfächer fünffach – mit 5. Prüfungsfach oder BLL alle vierfach.</t>
  </si>
  <si>
    <t xml:space="preserve">• Bestehen Block II: mind. 100 Punkte, bei 4 Fächern in 2 (bei 5 Fächern in 3) mind. 5 Punkte.</t>
  </si>
  <si>
    <t xml:space="preserve">Quelle: MSS-Portal Rheinland-Pfalz: Qualifikationsbereich ab Abitur 2027</t>
  </si>
  <si>
    <t xml:space="preserve">https://mss.rlp.de/abitur-und-fh-reife/qualifikationsbereich-1</t>
  </si>
  <si>
    <t xml:space="preserve">Online-Rechner Rheinland-Pfalz mit Statistik und PDF-Download: https://www.abi-rechner.com/bundeslander/rheinland-pfalz/</t>
  </si>
  <si>
    <t xml:space="preserve">Abi-Rechner Saarland – Abitur 2027</t>
  </si>
  <si>
    <t xml:space="preserve">Abitur 2027 (GOS-VO) · Stand: September 2026 · abi-rechner.com</t>
  </si>
  <si>
    <t xml:space="preserve">1. Prüfungsfach
L-Kurs, schriftlich</t>
  </si>
  <si>
    <t xml:space="preserve">2. Prüfungsfach
L-Kurs, schriftlich</t>
  </si>
  <si>
    <t xml:space="preserve">3. Prüfungsfach
G-Kurs, schriftlich</t>
  </si>
  <si>
    <t xml:space="preserve">4. Prüfungsfach
G-Kurs, schriftlich</t>
  </si>
  <si>
    <t xml:space="preserve">5. Prüfungsfach
G-Kurs, mündlich</t>
  </si>
  <si>
    <t xml:space="preserve">Die Regeln in Saarland kurz erklärt</t>
  </si>
  <si>
    <t xml:space="preserve">• Genau 40 Kurse, alle einfach gewertet – auch die L-Kurse.</t>
  </si>
  <si>
    <t xml:space="preserve">• Höchstens 8 Unterkurse; keine 0 Punkte. Zusätzlich: in D/M/Fremdsprache mind. 5 von 12 Kursen mit 5 Punkten.</t>
  </si>
  <si>
    <t xml:space="preserve">• Block II: 5 Prüfungsfächer (4 schriftlich), jeweils vierfach.</t>
  </si>
  <si>
    <t xml:space="preserve">• Bestehen Block II: mind. 100 Punkte, in 3 Fächern (darunter ein L-Kurs-Fach) mind. 5 Punkte.</t>
  </si>
  <si>
    <t xml:space="preserve">Quelle: GOS-VO Saarland §§ 35, 51</t>
  </si>
  <si>
    <t xml:space="preserve">https://recht.saarland.de/bssl/document/jlr-OberStVSL2007rahmen</t>
  </si>
  <si>
    <t xml:space="preserve">Online-Rechner Saarland mit Statistik und PDF-Download: https://www.abi-rechner.com/bundeslander/saarland/</t>
  </si>
  <si>
    <t xml:space="preserve">Abi-Rechner Sachsen – Abitur 2027</t>
  </si>
  <si>
    <t xml:space="preserve">Abitur 2027 (SOGYA) · Stand: September 2026 · abi-rechner.com</t>
  </si>
  <si>
    <t xml:space="preserve">5. Prüfungsfach
mündlich oder BLL</t>
  </si>
  <si>
    <t xml:space="preserve">Höchstens 4 Unterkurse in den Leistungs-/eA-Fächern</t>
  </si>
  <si>
    <t xml:space="preserve">Die Regeln in Sachsen kurz erklärt</t>
  </si>
  <si>
    <t xml:space="preserve">• 40 Kurshalbjahre, Leistungskurse doppelt.</t>
  </si>
  <si>
    <t xml:space="preserve">• Block I = Punktsumme / 48 × 40, ab ,5 aufgerundet.</t>
  </si>
  <si>
    <t xml:space="preserve">• Höchstens 8 Unterkurse, davon höchstens 4 im LK; keine 0 Punkte.</t>
  </si>
  <si>
    <t xml:space="preserve">• Block II: 5 Prüfungen, jeweils vierfach.</t>
  </si>
  <si>
    <t xml:space="preserve">• Bestehen Block II: mind. 100 Punkte, in 3 Fächern (darunter ein LK) mind. 5 Punkte, keine Prüfung mit 0 Punkten.</t>
  </si>
  <si>
    <t xml:space="preserve">Quelle: SOGYA Sachsen § 48</t>
  </si>
  <si>
    <t xml:space="preserve">https://www.revosax.sachsen.de/vorschrift/20003-Schulordnung-Gymnasien-Abiturpruefung</t>
  </si>
  <si>
    <t xml:space="preserve">Online-Rechner Sachsen mit Statistik und PDF-Download: https://www.abi-rechner.com/bundeslander/sachsen/</t>
  </si>
  <si>
    <t xml:space="preserve">Abi-Rechner Sachsen-Anhalt – Abitur 2027</t>
  </si>
  <si>
    <t xml:space="preserve">Abitur 2027 (Oberstufenverordnung) · Stand: September 2026 · abi-rechner.com</t>
  </si>
  <si>
    <t xml:space="preserve">1. Prüfungsfach
erhöhtes Niveau, schriftlich · doppelt (wenn besser)</t>
  </si>
  <si>
    <t xml:space="preserve">2. Prüfungsfach
erhöhtes Niveau, schriftlich · doppelt (wenn besser)</t>
  </si>
  <si>
    <t xml:space="preserve">3. Prüfungsfach
grundlegendes Niveau, schriftlich</t>
  </si>
  <si>
    <t xml:space="preserve">5. Prüfungsfach
mündlich</t>
  </si>
  <si>
    <t xml:space="preserve">Die Regeln in Sachsen-Anhalt kurz erklärt</t>
  </si>
  <si>
    <t xml:space="preserve">• 36 bis 40 Kurshalbjahre; die beiden schriftlichen eA-Fächer dürfen doppelt gewichtet werden (der Rechner nimmt die bessere Variante).</t>
  </si>
  <si>
    <t xml:space="preserve">• Block I = Punktsumme / Anzahl × 40, ab ,5 aufgerundet.</t>
  </si>
  <si>
    <t xml:space="preserve">• Höchstens 20 % der eingebrachten Ergebnisse unter 5 Punkten; keine 0 Punkte.</t>
  </si>
  <si>
    <t xml:space="preserve">• Block II: 5 Prüfungen, jeweils vierfach; jede schriftliche Prüfung mind. 1 Punkt.</t>
  </si>
  <si>
    <t xml:space="preserve">• Bestehen Block II: mind. 100 Punkte, in 3 Prüfungen (darunter ein eA-Fach) mind. 5 Punkte.</t>
  </si>
  <si>
    <t xml:space="preserve">Quelle: Oberstufenverordnung Sachsen-Anhalt §§ 38, 39</t>
  </si>
  <si>
    <t xml:space="preserve">https://www.landesrecht.sachsen-anhalt.de/perma?d=jlr-NNLST000042BE</t>
  </si>
  <si>
    <t xml:space="preserve">Online-Rechner Sachsen-Anhalt mit Statistik und PDF-Download: https://www.abi-rechner.com/bundeslander/sachsen-anhalt/</t>
  </si>
  <si>
    <t xml:space="preserve">Abi-Rechner Schleswig-Holstein – Abitur 2027</t>
  </si>
  <si>
    <t xml:space="preserve">Abitur 2027 und später (OAPVO) · Stand: September 2026 · abi-rechner.com</t>
  </si>
  <si>
    <t xml:space="preserve">1. Prüfungsfach
Kernfach, erhöhtes Niveau · zählt doppelt</t>
  </si>
  <si>
    <t xml:space="preserve">2. Prüfungsfach
Profilfach, erhöhtes Niveau · zählt doppelt</t>
  </si>
  <si>
    <t xml:space="preserve">3. Prüfungsfach
Kernfach, grundlegendes Niveau, schriftlich</t>
  </si>
  <si>
    <t xml:space="preserve">5. Prüfung (freiwillig)
mündlich oder BLL – dann alle Prüfungen vierfach</t>
  </si>
  <si>
    <t xml:space="preserve">Die Regeln in Schleswig-Holstein kurz erklärt</t>
  </si>
  <si>
    <t xml:space="preserve">• 36 Einzelergebnisse; die beiden Fächer auf erhöhtem Niveau zählen doppelt.</t>
  </si>
  <si>
    <t xml:space="preserve">• Mindestens 29 Ergebnisse mit 5 Punkten (höchstens 7 Unterkurse); keine 0 Punkte.</t>
  </si>
  <si>
    <t xml:space="preserve">• Block II: 4 Prüfungen fünffach, mit freiwilliger 5. Prüfung alle vierfach.</t>
  </si>
  <si>
    <t xml:space="preserve">• Bestehen Block II: mind. 100 Punkte, bei 4 Prüfungen 2 (bei 5 Prüfungen 3) mit mind. 5 Punkten.</t>
  </si>
  <si>
    <t xml:space="preserve">Quelle: OAPVO Schleswig-Holstein §§ 32, 33, Anlage 4</t>
  </si>
  <si>
    <t xml:space="preserve">https://www.gesetze-rechtsprechung.sh.juris.de/perma?d=jlr-NNLSH00002A8C</t>
  </si>
  <si>
    <t xml:space="preserve">Online-Rechner Schleswig-Holstein mit Statistik und PDF-Download: https://www.abi-rechner.com/bundeslander/schleswig-holstein/</t>
  </si>
  <si>
    <t xml:space="preserve">Abi-Rechner Thüringen – Abitur 2027</t>
  </si>
  <si>
    <t xml:space="preserve">Abitur 2027 und später (ThürSchulO) · Stand: September 2026 · abi-rechner.com</t>
  </si>
  <si>
    <t xml:space="preserve">1. Prüfungsfach
erhöhtes Niveau, schriftlich</t>
  </si>
  <si>
    <t xml:space="preserve">2. Prüfungsfach
erhöhtes Niveau, schriftlich</t>
  </si>
  <si>
    <t xml:space="preserve">4. Prüfungsfach
mündlich</t>
  </si>
  <si>
    <t xml:space="preserve">5. Prüfungsfach
mündlich oder Seminarfach</t>
  </si>
  <si>
    <t xml:space="preserve">Die Regeln in Thüringen kurz erklärt</t>
  </si>
  <si>
    <t xml:space="preserve">• 36 Halbjahresergebnisse, alle einfach gewertet.</t>
  </si>
  <si>
    <t xml:space="preserve">• Block I = Punktsumme / 36 × 40, ab ,5 aufgerundet.</t>
  </si>
  <si>
    <t xml:space="preserve">• Höchstens 7 Ergebnisse unter 5 Punkten; 0 Punkte nicht einbringbar.</t>
  </si>
  <si>
    <t xml:space="preserve">• Block II: 5 Prüfungen (3 schriftlich, 2 mündlich), jeweils vierfach.</t>
  </si>
  <si>
    <t xml:space="preserve">Quelle: ThürSchulO §§ 89–92, Anlage 15</t>
  </si>
  <si>
    <t xml:space="preserve">https://landesrecht.thueringen.de/perma?d=jlr-NNLTH0000384E</t>
  </si>
  <si>
    <t xml:space="preserve">Online-Rechner Thüringen mit Statistik und PDF-Download: https://www.abi-rechner.com/bundeslander/thuringen/</t>
  </si>
  <si>
    <t xml:space="preserve">Punktetabelle: Gesamtpunkte → Abiturnote</t>
  </si>
  <si>
    <t xml:space="preserve">Umrechnung nach KMK-Vereinbarung (Anlage 3): N = 17/3 − P/180, auf eine Nachkommastelle abgeschnitten.</t>
  </si>
  <si>
    <t xml:space="preserve">Punkte von</t>
  </si>
  <si>
    <t xml:space="preserve">Punkte bis</t>
  </si>
  <si>
    <t xml:space="preserve">Notenpunkte</t>
  </si>
  <si>
    <t xml:space="preserve">Note</t>
  </si>
  <si>
    <t xml:space="preserve">Bedeutung</t>
  </si>
  <si>
    <t xml:space="preserve">1+</t>
  </si>
  <si>
    <t xml:space="preserve">sehr gut</t>
  </si>
  <si>
    <t xml:space="preserve">1</t>
  </si>
  <si>
    <t xml:space="preserve">1−</t>
  </si>
  <si>
    <t xml:space="preserve">2+</t>
  </si>
  <si>
    <t xml:space="preserve">gut</t>
  </si>
  <si>
    <t xml:space="preserve">2</t>
  </si>
  <si>
    <t xml:space="preserve">2−</t>
  </si>
  <si>
    <t xml:space="preserve">3+</t>
  </si>
  <si>
    <t xml:space="preserve">befriedigend</t>
  </si>
  <si>
    <t xml:space="preserve">3</t>
  </si>
  <si>
    <t xml:space="preserve">3−</t>
  </si>
  <si>
    <t xml:space="preserve">4+</t>
  </si>
  <si>
    <t xml:space="preserve">ausreichend</t>
  </si>
  <si>
    <t xml:space="preserve">4</t>
  </si>
  <si>
    <t xml:space="preserve">4−</t>
  </si>
  <si>
    <t xml:space="preserve">5+</t>
  </si>
  <si>
    <t xml:space="preserve">mangelhaft</t>
  </si>
  <si>
    <t xml:space="preserve">5−</t>
  </si>
  <si>
    <t xml:space="preserve">6</t>
  </si>
  <si>
    <t xml:space="preserve">ungenügend</t>
  </si>
  <si>
    <t xml:space="preserve">Unter 5 Punkten = Unterkurs / Defizit.</t>
  </si>
  <si>
    <t xml:space="preserve">Unter 300 Punkten ist das Abitur nicht bestanden.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</si>
</sst>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3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2"/>
      <color rgb="FF1F4E7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1F4E7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u val="single"/>
      <sz val="10"/>
      <color rgb="FF0563C1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sz val="8"/>
      <color rgb="FF80808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8"/>
      <color rgb="FF7F7F7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"/>
      <color rgb="FFA6A6A6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C00000"/>
      <name val="Arial"/>
      <family val="0"/>
      <charset val="1"/>
    </font>
    <font>
      <sz val="9"/>
      <color rgb="FF80808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u val="single"/>
      <sz val="8"/>
      <color rgb="FF0563C1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i val="true"/>
      <sz val="8"/>
      <color rgb="FF7F7F7F"/>
      <name val="Arial"/>
      <family val="0"/>
      <charset val="1"/>
    </font>
    <font>
      <sz val="10"/>
      <name val="Arial"/>
      <family val="2"/>
    </font>
    <font>
      <sz val="11"/>
      <color rgb="FF595959"/>
      <name val="Arial"/>
      <family val="0"/>
      <charset val="1"/>
    </font>
    <font>
      <b val="true"/>
      <sz val="14"/>
      <color rgb="FF1F4E79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2CC"/>
        <bgColor rgb="FFFCE4E4"/>
      </patternFill>
    </fill>
    <fill>
      <patternFill patternType="solid">
        <fgColor rgb="FFEDEDED"/>
        <bgColor rgb="FFE2EFDA"/>
      </patternFill>
    </fill>
    <fill>
      <patternFill patternType="solid">
        <fgColor rgb="FFE2EFDA"/>
        <bgColor rgb="FFEDEDED"/>
      </patternFill>
    </fill>
    <fill>
      <patternFill patternType="solid">
        <fgColor rgb="FFFCE4E4"/>
        <bgColor rgb="FFEDEDED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2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7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C00000"/>
      </font>
      <fill>
        <patternFill>
          <bgColor rgb="FFFCE4E4"/>
        </patternFill>
      </fill>
    </dxf>
    <dxf>
      <fill>
        <patternFill>
          <bgColor rgb="FFE2EFDA"/>
        </patternFill>
      </fill>
    </dxf>
    <dxf>
      <font>
        <name val="Arial"/>
        <charset val="1"/>
        <family val="0"/>
        <color rgb="FF808080"/>
      </font>
      <fill>
        <patternFill>
          <bgColor rgb="FFEDEDED"/>
        </patternFill>
      </fill>
    </dxf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375623"/>
      </font>
      <fill>
        <patternFill>
          <bgColor rgb="FFE2EFDA"/>
        </patternFill>
      </fill>
    </dxf>
    <dxf>
      <font>
        <name val="Arial"/>
        <charset val="1"/>
        <family val="0"/>
        <b val="1"/>
        <color rgb="FFC00000"/>
        <sz val="12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7F7"/>
      <rgbColor rgb="FFE2EFDA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1F4E7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bi-rechner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km.baden-wuerttemberg.de/fileadmin/redaktion/m-km/intern/PDF/Publikationen/Gymnasium/2025_Leitfaden_fuer_die_gymnasiale_Oberstufe_Abitur_2027.pdf" TargetMode="External"/><Relationship Id="rId3" Type="http://schemas.openxmlformats.org/officeDocument/2006/relationships/hyperlink" Target="https://www.abi-rechner.com/bundeslander/baden-wuerttemberg/" TargetMode="External"/><Relationship Id="rId4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https://www.gesetze-bayern.de/Content/Document/BayGSO-44" TargetMode="External"/><Relationship Id="rId3" Type="http://schemas.openxmlformats.org/officeDocument/2006/relationships/hyperlink" Target="https://www.abi-rechner.com/bundeslander/bayern/" TargetMode="External"/><Relationship Id="rId4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https://www.schulgesetz-berlin.de/berlin/verordnung-ueber-die-gymnasiale-oberstufe/teil-iii-durchfuehrung-der-gymnasialen-oberstufe/kapitel-3-qualifikationsphase/sect-26-gesamtqualifikation.php" TargetMode="External"/><Relationship Id="rId3" Type="http://schemas.openxmlformats.org/officeDocument/2006/relationships/hyperlink" Target="https://www.abi-rechner.com/bundeslander/berlin/" TargetMode="External"/><Relationship Id="rId4" Type="http://schemas.openxmlformats.org/officeDocument/2006/relationships/vmlDrawing" Target="../drawings/vmlDrawing3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hyperlink" Target="https://bravors.brandenburg.de/verordnungen/gostv/9" TargetMode="External"/><Relationship Id="rId3" Type="http://schemas.openxmlformats.org/officeDocument/2006/relationships/hyperlink" Target="https://www.abi-rechner.com/bundeslander/brandenburg/" TargetMode="External"/><Relationship Id="rId4" Type="http://schemas.openxmlformats.org/officeDocument/2006/relationships/vmlDrawing" Target="../drawings/vmlDrawing4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hyperlink" Target="https://www.transparenz.bremen.de/sixcms/detail.php?gsid=bremen2014_tp.c.192657.de&amp;template=00_html_to_pdf_d" TargetMode="External"/><Relationship Id="rId3" Type="http://schemas.openxmlformats.org/officeDocument/2006/relationships/hyperlink" Target="https://www.abi-rechner.com/bundeslander/bremen/" TargetMode="External"/><Relationship Id="rId4" Type="http://schemas.openxmlformats.org/officeDocument/2006/relationships/vmlDrawing" Target="../drawings/vmlDrawing5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hyperlink" Target="https://www.hamburg.de/resource/blob/133942/83622ebebbcb4b771d65dc3b1f1a3996/bsb-apo-ah-18-03-2009-data.pdf" TargetMode="External"/><Relationship Id="rId3" Type="http://schemas.openxmlformats.org/officeDocument/2006/relationships/hyperlink" Target="https://www.abi-rechner.com/bundeslander/hamburg/" TargetMode="External"/><Relationship Id="rId4" Type="http://schemas.openxmlformats.org/officeDocument/2006/relationships/vmlDrawing" Target="../drawings/vmlDrawing6.v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hyperlink" Target="https://www.rv.hessenrecht.hessen.de/bshe/document/hevr-OSt_AbiVHEV14IVZ" TargetMode="External"/><Relationship Id="rId3" Type="http://schemas.openxmlformats.org/officeDocument/2006/relationships/hyperlink" Target="https://www.abi-rechner.com/bundeslander/hessen/" TargetMode="External"/><Relationship Id="rId4" Type="http://schemas.openxmlformats.org/officeDocument/2006/relationships/vmlDrawing" Target="../drawings/vmlDrawing7.v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hyperlink" Target="https://www.landesrecht-mv.de/bsmv/document/jlr-AbiPrVMVrahmen" TargetMode="External"/><Relationship Id="rId3" Type="http://schemas.openxmlformats.org/officeDocument/2006/relationships/hyperlink" Target="https://www.abi-rechner.com/bundeslander/mecklenburg-vorpommern/" TargetMode="External"/><Relationship Id="rId4" Type="http://schemas.openxmlformats.org/officeDocument/2006/relationships/vmlDrawing" Target="../drawings/vmlDrawing8.v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hyperlink" Target="https://www.mk.niedersachsen.de/download/110382/AVO-GOBAK_und_EB-AVO-GOBAK_Maerz_2025.pdf" TargetMode="External"/><Relationship Id="rId3" Type="http://schemas.openxmlformats.org/officeDocument/2006/relationships/hyperlink" Target="https://www.abi-rechner.com/bundeslander/niedersachsen/" TargetMode="External"/><Relationship Id="rId4" Type="http://schemas.openxmlformats.org/officeDocument/2006/relationships/vmlDrawing" Target="../drawings/vmlDrawing9.v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comments" Target="../comments11.xml"/><Relationship Id="rId2" Type="http://schemas.openxmlformats.org/officeDocument/2006/relationships/hyperlink" Target="https://recht.nrw.de/lrgv/rechtsverordnung/01082025-verordnung-ueber-den-bildungsgang-und-die-abiturpruefung-der/" TargetMode="External"/><Relationship Id="rId3" Type="http://schemas.openxmlformats.org/officeDocument/2006/relationships/hyperlink" Target="https://www.abi-rechner.com/bundeslander/nordrhein-westfalen/" TargetMode="External"/><Relationship Id="rId4" Type="http://schemas.openxmlformats.org/officeDocument/2006/relationships/vmlDrawing" Target="../drawings/vmlDrawing10.v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comments" Target="../comments12.xml"/><Relationship Id="rId2" Type="http://schemas.openxmlformats.org/officeDocument/2006/relationships/hyperlink" Target="https://mss.rlp.de/abitur-und-fh-reife/qualifikationsbereich-1" TargetMode="External"/><Relationship Id="rId3" Type="http://schemas.openxmlformats.org/officeDocument/2006/relationships/hyperlink" Target="https://www.abi-rechner.com/bundeslander/rheinland-pfalz/" TargetMode="External"/><Relationship Id="rId4" Type="http://schemas.openxmlformats.org/officeDocument/2006/relationships/vmlDrawing" Target="../drawings/vmlDrawing11.v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comments" Target="../comments13.xml"/><Relationship Id="rId2" Type="http://schemas.openxmlformats.org/officeDocument/2006/relationships/hyperlink" Target="https://recht.saarland.de/bssl/document/jlr-OberStVSL2007rahmen" TargetMode="External"/><Relationship Id="rId3" Type="http://schemas.openxmlformats.org/officeDocument/2006/relationships/hyperlink" Target="https://www.abi-rechner.com/bundeslander/saarland/" TargetMode="External"/><Relationship Id="rId4" Type="http://schemas.openxmlformats.org/officeDocument/2006/relationships/vmlDrawing" Target="../drawings/vmlDrawing12.v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comments" Target="../comments14.xml"/><Relationship Id="rId2" Type="http://schemas.openxmlformats.org/officeDocument/2006/relationships/hyperlink" Target="https://www.revosax.sachsen.de/vorschrift/20003-Schulordnung-Gymnasien-Abiturpruefung" TargetMode="External"/><Relationship Id="rId3" Type="http://schemas.openxmlformats.org/officeDocument/2006/relationships/hyperlink" Target="https://www.abi-rechner.com/bundeslander/sachsen/" TargetMode="External"/><Relationship Id="rId4" Type="http://schemas.openxmlformats.org/officeDocument/2006/relationships/vmlDrawing" Target="../drawings/vmlDrawing13.v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comments" Target="../comments15.xml"/><Relationship Id="rId2" Type="http://schemas.openxmlformats.org/officeDocument/2006/relationships/hyperlink" Target="https://www.landesrecht.sachsen-anhalt.de/perma?d=jlr-NNLST000042BE" TargetMode="External"/><Relationship Id="rId3" Type="http://schemas.openxmlformats.org/officeDocument/2006/relationships/hyperlink" Target="https://www.abi-rechner.com/bundeslander/sachsen-anhalt/" TargetMode="External"/><Relationship Id="rId4" Type="http://schemas.openxmlformats.org/officeDocument/2006/relationships/vmlDrawing" Target="../drawings/vmlDrawing14.v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comments" Target="../comments16.xml"/><Relationship Id="rId2" Type="http://schemas.openxmlformats.org/officeDocument/2006/relationships/hyperlink" Target="https://www.gesetze-rechtsprechung.sh.juris.de/perma?d=jlr-NNLSH00002A8C" TargetMode="External"/><Relationship Id="rId3" Type="http://schemas.openxmlformats.org/officeDocument/2006/relationships/hyperlink" Target="https://www.abi-rechner.com/bundeslander/schleswig-holstein/" TargetMode="External"/><Relationship Id="rId4" Type="http://schemas.openxmlformats.org/officeDocument/2006/relationships/vmlDrawing" Target="../drawings/vmlDrawing15.v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comments" Target="../comments17.xml"/><Relationship Id="rId2" Type="http://schemas.openxmlformats.org/officeDocument/2006/relationships/hyperlink" Target="https://landesrecht.thueringen.de/perma?d=jlr-NNLTH0000384E" TargetMode="External"/><Relationship Id="rId3" Type="http://schemas.openxmlformats.org/officeDocument/2006/relationships/hyperlink" Target="https://www.abi-rechner.com/bundeslander/thuringen/" TargetMode="External"/><Relationship Id="rId4" Type="http://schemas.openxmlformats.org/officeDocument/2006/relationships/vmlDrawing" Target="../drawings/vmlDrawing16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4" min="3" style="0" width="16"/>
    <col collapsed="false" customWidth="true" hidden="false" outlineLevel="0" max="5" min="5" style="0" width="60"/>
  </cols>
  <sheetData>
    <row r="1" customFormat="false" ht="22.0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 t="s">
        <v>5</v>
      </c>
    </row>
    <row r="8" customFormat="false" ht="15" hidden="false" customHeight="false" outlineLevel="0" collapsed="false">
      <c r="B8" s="4" t="s">
        <v>6</v>
      </c>
    </row>
    <row r="9" customFormat="false" ht="15" hidden="false" customHeight="false" outlineLevel="0" collapsed="false">
      <c r="B9" s="4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6" t="s">
        <v>9</v>
      </c>
      <c r="C12" s="6" t="s">
        <v>10</v>
      </c>
      <c r="D12" s="6" t="s">
        <v>11</v>
      </c>
      <c r="E12" s="6" t="s">
        <v>12</v>
      </c>
    </row>
    <row r="13" customFormat="false" ht="15" hidden="false" customHeight="false" outlineLevel="0" collapsed="false">
      <c r="B13" s="7" t="s">
        <v>13</v>
      </c>
      <c r="C13" s="8" t="s">
        <v>14</v>
      </c>
      <c r="D13" s="8" t="s">
        <v>15</v>
      </c>
      <c r="E13" s="7" t="s">
        <v>16</v>
      </c>
    </row>
    <row r="15" customFormat="false" ht="15" hidden="false" customHeight="false" outlineLevel="0" collapsed="false">
      <c r="B15" s="3" t="s">
        <v>17</v>
      </c>
    </row>
    <row r="16" customFormat="false" ht="15" hidden="false" customHeight="false" outlineLevel="0" collapsed="false">
      <c r="B16" s="6" t="s">
        <v>18</v>
      </c>
      <c r="C16" s="6" t="s">
        <v>19</v>
      </c>
      <c r="D16" s="6" t="s">
        <v>20</v>
      </c>
      <c r="E16" s="6" t="s">
        <v>21</v>
      </c>
    </row>
    <row r="17" customFormat="false" ht="15" hidden="false" customHeight="false" outlineLevel="0" collapsed="false">
      <c r="B17" s="9" t="s">
        <v>22</v>
      </c>
      <c r="C17" s="10" t="s">
        <v>23</v>
      </c>
      <c r="D17" s="10" t="s">
        <v>24</v>
      </c>
      <c r="E17" s="11" t="s">
        <v>25</v>
      </c>
    </row>
    <row r="18" customFormat="false" ht="15" hidden="false" customHeight="false" outlineLevel="0" collapsed="false">
      <c r="B18" s="9" t="s">
        <v>26</v>
      </c>
      <c r="C18" s="10" t="s">
        <v>23</v>
      </c>
      <c r="D18" s="10" t="s">
        <v>24</v>
      </c>
      <c r="E18" s="11" t="s">
        <v>27</v>
      </c>
    </row>
    <row r="19" customFormat="false" ht="15" hidden="false" customHeight="false" outlineLevel="0" collapsed="false">
      <c r="B19" s="9" t="s">
        <v>28</v>
      </c>
      <c r="C19" s="10" t="s">
        <v>29</v>
      </c>
      <c r="D19" s="10" t="s">
        <v>24</v>
      </c>
      <c r="E19" s="11" t="s">
        <v>30</v>
      </c>
    </row>
    <row r="20" customFormat="false" ht="15" hidden="false" customHeight="false" outlineLevel="0" collapsed="false">
      <c r="B20" s="9" t="s">
        <v>31</v>
      </c>
      <c r="C20" s="10" t="s">
        <v>32</v>
      </c>
      <c r="D20" s="10" t="s">
        <v>33</v>
      </c>
      <c r="E20" s="11" t="s">
        <v>34</v>
      </c>
    </row>
    <row r="21" customFormat="false" ht="15" hidden="false" customHeight="false" outlineLevel="0" collapsed="false">
      <c r="B21" s="9" t="s">
        <v>35</v>
      </c>
      <c r="C21" s="10" t="s">
        <v>29</v>
      </c>
      <c r="D21" s="10" t="s">
        <v>33</v>
      </c>
      <c r="E21" s="11" t="s">
        <v>36</v>
      </c>
    </row>
    <row r="22" customFormat="false" ht="15" hidden="false" customHeight="false" outlineLevel="0" collapsed="false">
      <c r="B22" s="9" t="s">
        <v>37</v>
      </c>
      <c r="C22" s="10" t="s">
        <v>38</v>
      </c>
      <c r="D22" s="10" t="s">
        <v>33</v>
      </c>
      <c r="E22" s="11" t="s">
        <v>39</v>
      </c>
    </row>
    <row r="23" customFormat="false" ht="15" hidden="false" customHeight="false" outlineLevel="0" collapsed="false">
      <c r="B23" s="9" t="s">
        <v>40</v>
      </c>
      <c r="C23" s="10" t="s">
        <v>29</v>
      </c>
      <c r="D23" s="10" t="s">
        <v>24</v>
      </c>
      <c r="E23" s="11" t="s">
        <v>41</v>
      </c>
    </row>
    <row r="24" customFormat="false" ht="15" hidden="false" customHeight="false" outlineLevel="0" collapsed="false">
      <c r="B24" s="9" t="s">
        <v>42</v>
      </c>
      <c r="C24" s="10" t="s">
        <v>43</v>
      </c>
      <c r="D24" s="10" t="s">
        <v>24</v>
      </c>
      <c r="E24" s="11" t="s">
        <v>44</v>
      </c>
    </row>
    <row r="25" customFormat="false" ht="15" hidden="false" customHeight="false" outlineLevel="0" collapsed="false">
      <c r="B25" s="9" t="s">
        <v>45</v>
      </c>
      <c r="C25" s="10" t="s">
        <v>46</v>
      </c>
      <c r="D25" s="10" t="s">
        <v>24</v>
      </c>
      <c r="E25" s="11" t="s">
        <v>47</v>
      </c>
    </row>
    <row r="26" customFormat="false" ht="15" hidden="false" customHeight="false" outlineLevel="0" collapsed="false">
      <c r="B26" s="9" t="s">
        <v>48</v>
      </c>
      <c r="C26" s="10" t="s">
        <v>49</v>
      </c>
      <c r="D26" s="10" t="s">
        <v>33</v>
      </c>
      <c r="E26" s="11" t="s">
        <v>50</v>
      </c>
    </row>
    <row r="27" customFormat="false" ht="15" hidden="false" customHeight="false" outlineLevel="0" collapsed="false">
      <c r="B27" s="9" t="s">
        <v>51</v>
      </c>
      <c r="C27" s="10" t="s">
        <v>43</v>
      </c>
      <c r="D27" s="10" t="s">
        <v>33</v>
      </c>
      <c r="E27" s="11" t="s">
        <v>52</v>
      </c>
    </row>
    <row r="28" customFormat="false" ht="15" hidden="false" customHeight="false" outlineLevel="0" collapsed="false">
      <c r="B28" s="9" t="s">
        <v>53</v>
      </c>
      <c r="C28" s="10" t="s">
        <v>23</v>
      </c>
      <c r="D28" s="10" t="s">
        <v>24</v>
      </c>
      <c r="E28" s="11" t="s">
        <v>54</v>
      </c>
    </row>
    <row r="29" customFormat="false" ht="15" hidden="false" customHeight="false" outlineLevel="0" collapsed="false">
      <c r="B29" s="9" t="s">
        <v>55</v>
      </c>
      <c r="C29" s="10" t="s">
        <v>23</v>
      </c>
      <c r="D29" s="10" t="s">
        <v>24</v>
      </c>
      <c r="E29" s="11" t="s">
        <v>56</v>
      </c>
    </row>
    <row r="30" customFormat="false" ht="15" hidden="false" customHeight="false" outlineLevel="0" collapsed="false">
      <c r="B30" s="9" t="s">
        <v>57</v>
      </c>
      <c r="C30" s="10" t="s">
        <v>58</v>
      </c>
      <c r="D30" s="10" t="s">
        <v>24</v>
      </c>
      <c r="E30" s="11" t="s">
        <v>59</v>
      </c>
    </row>
    <row r="31" customFormat="false" ht="15" hidden="false" customHeight="false" outlineLevel="0" collapsed="false">
      <c r="B31" s="9" t="s">
        <v>60</v>
      </c>
      <c r="C31" s="10" t="s">
        <v>43</v>
      </c>
      <c r="D31" s="10" t="s">
        <v>33</v>
      </c>
      <c r="E31" s="11" t="s">
        <v>61</v>
      </c>
    </row>
    <row r="32" customFormat="false" ht="15" hidden="false" customHeight="false" outlineLevel="0" collapsed="false">
      <c r="B32" s="9" t="s">
        <v>62</v>
      </c>
      <c r="C32" s="10" t="s">
        <v>43</v>
      </c>
      <c r="D32" s="10" t="s">
        <v>24</v>
      </c>
      <c r="E32" s="11" t="s">
        <v>63</v>
      </c>
    </row>
    <row r="34" customFormat="false" ht="15" hidden="false" customHeight="false" outlineLevel="0" collapsed="false">
      <c r="B34" s="3" t="s">
        <v>64</v>
      </c>
    </row>
    <row r="35" customFormat="false" ht="15" hidden="false" customHeight="false" outlineLevel="0" collapsed="false">
      <c r="B35" s="12" t="s">
        <v>65</v>
      </c>
    </row>
    <row r="36" customFormat="false" ht="15" hidden="false" customHeight="false" outlineLevel="0" collapsed="false">
      <c r="B36" s="12" t="s">
        <v>66</v>
      </c>
    </row>
    <row r="37" customFormat="false" ht="15" hidden="false" customHeight="false" outlineLevel="0" collapsed="false">
      <c r="B37" s="12" t="s">
        <v>67</v>
      </c>
    </row>
    <row r="38" customFormat="false" ht="15" hidden="false" customHeight="false" outlineLevel="0" collapsed="false">
      <c r="B38" s="12" t="s">
        <v>68</v>
      </c>
    </row>
    <row r="39" customFormat="false" ht="15" hidden="false" customHeight="false" outlineLevel="0" collapsed="false">
      <c r="B39" s="12" t="s">
        <v>69</v>
      </c>
    </row>
    <row r="41" customFormat="false" ht="15" hidden="false" customHeight="false" outlineLevel="0" collapsed="false">
      <c r="B41" s="13" t="s">
        <v>70</v>
      </c>
    </row>
  </sheetData>
  <sheetProtection sheet="true" formatColumns="false"/>
  <hyperlinks>
    <hyperlink ref="B17" location="'Baden-Württemberg'!A1" display="Baden-Württemberg"/>
    <hyperlink ref="B18" location="'Bayern'!A1" display="Bayern"/>
    <hyperlink ref="B19" location="'Berlin'!A1" display="Berlin"/>
    <hyperlink ref="B20" location="'Brandenburg'!A1" display="Brandenburg"/>
    <hyperlink ref="B21" location="'Bremen'!A1" display="Bremen"/>
    <hyperlink ref="B22" location="'Hamburg'!A1" display="Hamburg"/>
    <hyperlink ref="B23" location="'Hessen'!A1" display="Hessen"/>
    <hyperlink ref="B24" location="'Mecklenburg-Vorpommern'!A1" display="Mecklenburg-Vorpommern"/>
    <hyperlink ref="B25" location="'Niedersachsen'!A1" display="Niedersachsen"/>
    <hyperlink ref="B26" location="'Nordrhein-Westfalen'!A1" display="Nordrhein-Westfalen"/>
    <hyperlink ref="B27" location="'Rheinland-Pfalz'!A1" display="Rheinland-Pfalz"/>
    <hyperlink ref="B28" location="'Saarland'!A1" display="Saarland"/>
    <hyperlink ref="B29" location="'Sachsen'!A1" display="Sachsen"/>
    <hyperlink ref="B30" location="'Sachsen-Anhalt'!A1" display="Sachsen-Anhalt"/>
    <hyperlink ref="B31" location="'Schleswig-Holstein'!A1" display="Schleswig-Holstein"/>
    <hyperlink ref="B32" location="'Thüringen'!A1" display="Thüringen"/>
    <hyperlink ref="B41" r:id="rId1" display="Online-Rechner, Statistiken, BAföG- und Notendurchschnittsrechner: https://www.abi-rechner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7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71</v>
      </c>
      <c r="T1" s="15" t="s">
        <v>72</v>
      </c>
      <c r="BZ1" s="15" t="s">
        <v>73</v>
      </c>
      <c r="CA1" s="15" t="s">
        <v>74</v>
      </c>
      <c r="CB1" s="15" t="s">
        <v>75</v>
      </c>
      <c r="CC1" s="15" t="s">
        <v>76</v>
      </c>
    </row>
    <row r="2" customFormat="false" ht="15" hidden="false" customHeight="false" outlineLevel="0" collapsed="false">
      <c r="B2" s="2" t="s">
        <v>77</v>
      </c>
      <c r="T2" s="15" t="s">
        <v>78</v>
      </c>
      <c r="U2" s="15" t="n">
        <f aca="false">IFERROR(AVERAGE($E$6:$H$25),7)</f>
        <v>7</v>
      </c>
      <c r="BZ2" s="15" t="n">
        <f aca="false">IFERROR(LARGE($AH$6:$AK$25,1),0)</f>
        <v>0</v>
      </c>
      <c r="CA2" s="15" t="n">
        <f aca="false">BZ2</f>
        <v>0</v>
      </c>
      <c r="CB2" s="15" t="n">
        <f aca="false">IFERROR(LARGE($AM$6:$AP$25,1),0)</f>
        <v>0</v>
      </c>
      <c r="CC2" s="15" t="n">
        <f aca="false">CB2</f>
        <v>0</v>
      </c>
      <c r="CE2" s="15" t="s">
        <v>79</v>
      </c>
      <c r="CF2" s="15" t="s">
        <v>80</v>
      </c>
      <c r="CG2" s="15" t="s">
        <v>81</v>
      </c>
      <c r="CH2" s="15" t="s">
        <v>82</v>
      </c>
      <c r="CI2" s="15" t="s">
        <v>83</v>
      </c>
      <c r="CJ2" s="15" t="s">
        <v>84</v>
      </c>
      <c r="CK2" s="15" t="s">
        <v>85</v>
      </c>
      <c r="CL2" s="15" t="s">
        <v>86</v>
      </c>
      <c r="CM2" s="15" t="s">
        <v>87</v>
      </c>
      <c r="CN2" s="15" t="s">
        <v>88</v>
      </c>
      <c r="CO2" s="15" t="s">
        <v>89</v>
      </c>
      <c r="CP2" s="15" t="s">
        <v>90</v>
      </c>
      <c r="CQ2" s="15" t="s">
        <v>91</v>
      </c>
      <c r="CR2" s="15" t="s">
        <v>92</v>
      </c>
      <c r="CS2" s="15" t="s">
        <v>93</v>
      </c>
      <c r="CT2" s="15" t="s">
        <v>94</v>
      </c>
      <c r="CU2" s="15" t="s">
        <v>95</v>
      </c>
      <c r="CV2" s="15" t="s">
        <v>96</v>
      </c>
      <c r="CW2" s="15" t="s">
        <v>97</v>
      </c>
      <c r="CX2" s="15" t="s">
        <v>98</v>
      </c>
      <c r="CY2" s="15" t="s">
        <v>99</v>
      </c>
      <c r="CZ2" s="15" t="s">
        <v>100</v>
      </c>
      <c r="DA2" s="15" t="s">
        <v>101</v>
      </c>
      <c r="DB2" s="15" t="s">
        <v>102</v>
      </c>
      <c r="DC2" s="15" t="s">
        <v>103</v>
      </c>
      <c r="DD2" s="15" t="s">
        <v>104</v>
      </c>
      <c r="DE2" s="15" t="s">
        <v>105</v>
      </c>
      <c r="DF2" s="15" t="s">
        <v>106</v>
      </c>
      <c r="DG2" s="15" t="s">
        <v>107</v>
      </c>
      <c r="DH2" s="15" t="s">
        <v>108</v>
      </c>
    </row>
    <row r="3" customFormat="false" ht="15" hidden="false" customHeight="false" outlineLevel="0" collapsed="false">
      <c r="B3" s="16" t="s">
        <v>109</v>
      </c>
      <c r="T3" s="15" t="s">
        <v>110</v>
      </c>
      <c r="U3" s="15" t="n">
        <f aca="false">IFERROR(AVERAGE($I$6:$I$10),$U$2)</f>
        <v>7</v>
      </c>
      <c r="BZ3" s="15" t="n">
        <f aca="false">IFERROR(LARGE($AH$6:$AK$25,2),0)</f>
        <v>0</v>
      </c>
      <c r="CA3" s="15" t="n">
        <f aca="false">CA2+BZ3</f>
        <v>0</v>
      </c>
      <c r="CB3" s="15" t="n">
        <f aca="false">IFERROR(LARGE($AM$6:$AP$25,2),0)</f>
        <v>0</v>
      </c>
      <c r="CC3" s="15" t="n">
        <f aca="false">CC2+CB3</f>
        <v>0</v>
      </c>
      <c r="CE3" s="15" t="n">
        <f aca="false">40</f>
        <v>40</v>
      </c>
      <c r="CF3" s="15" t="n">
        <f aca="false">CE3-$U$5-$U$6-0</f>
        <v>20</v>
      </c>
      <c r="CG3" s="15" t="n">
        <f aca="false">MAX(0,CF3)</f>
        <v>20</v>
      </c>
      <c r="CH3" s="15" t="n">
        <f aca="false">MIN(CG3,$U$7)</f>
        <v>0</v>
      </c>
      <c r="CI3" s="15" t="n">
        <f aca="false">CG3-CH3</f>
        <v>20</v>
      </c>
      <c r="CJ3" s="15" t="n">
        <f aca="false">0</f>
        <v>0</v>
      </c>
      <c r="CK3" s="15" t="n">
        <f aca="false">$U$5+CH3+CJ3</f>
        <v>0</v>
      </c>
      <c r="CL3" s="15" t="n">
        <f aca="false">2*AW6+2*AX6+2*AW7+2*AX7+1*AW8+1*AX8</f>
        <v>0</v>
      </c>
      <c r="CM3" s="15" t="n">
        <f aca="false">2*AY6+2*AZ6+2*AY7+2*AZ7+1*AY8+1*AZ8+1*AY9+1*AZ9+1*AY10+1*AZ10+SUM($AA$12:$AA$25)</f>
        <v>0</v>
      </c>
      <c r="CN3" s="15" t="n">
        <f aca="false">IF(CH3=0,0,INDEX($CA$2:$CA$57,CH3))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IF(CP3&gt;0,MIN(600,INT((CO3/CP3*40)+0.5+0.000000001)),0)</f>
        <v>0</v>
      </c>
      <c r="CR3" s="15" t="n">
        <f aca="false">$U$9+CT3</f>
        <v>0</v>
      </c>
      <c r="CS3" s="15" t="n">
        <f aca="false">8</f>
        <v>8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IF($U$9&lt;=3,1,0)</f>
        <v>1</v>
      </c>
      <c r="CY3" s="15" t="n">
        <f aca="false">1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40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111</v>
      </c>
      <c r="U4" s="15" t="n">
        <f aca="false">IF(COUNT($E$6:$H$25,$I$6:$I$10)&gt;0,1,0)</f>
        <v>0</v>
      </c>
      <c r="BZ4" s="15" t="n">
        <f aca="false">IFERROR(LARGE($AH$6:$AK$25,3),0)</f>
        <v>0</v>
      </c>
      <c r="CA4" s="15" t="n">
        <f aca="false">CA3+BZ4</f>
        <v>0</v>
      </c>
      <c r="CB4" s="15" t="n">
        <f aca="false">IFERROR(LARGE($AM$6:$AP$25,3),0)</f>
        <v>0</v>
      </c>
      <c r="CC4" s="15" t="n">
        <f aca="false">CC3+CB4</f>
        <v>0</v>
      </c>
      <c r="CE4" s="15" t="n">
        <f aca="false">40</f>
        <v>40</v>
      </c>
      <c r="CF4" s="15" t="n">
        <f aca="false">CE4-$U$5-$U$6-0</f>
        <v>20</v>
      </c>
      <c r="CG4" s="15" t="n">
        <f aca="false">MAX(0,CF4)</f>
        <v>20</v>
      </c>
      <c r="CH4" s="15" t="n">
        <f aca="false">MIN(CG4,$U$7)</f>
        <v>0</v>
      </c>
      <c r="CI4" s="15" t="n">
        <f aca="false">CG4-CH4</f>
        <v>20</v>
      </c>
      <c r="CJ4" s="15" t="n">
        <f aca="false">0</f>
        <v>0</v>
      </c>
      <c r="CK4" s="15" t="n">
        <f aca="false">$U$5+CH4+CJ4</f>
        <v>0</v>
      </c>
      <c r="CL4" s="15" t="n">
        <f aca="false">2*AW6+2*AX6+1*AW7+1*AX7+2*AW8+2*AX8</f>
        <v>0</v>
      </c>
      <c r="CM4" s="15" t="n">
        <f aca="false">2*AY6+2*AZ6+1*AY7+1*AZ7+2*AY8+2*AZ8+1*AY9+1*AZ9+1*AY10+1*AZ10+SUM($AA$12:$AA$25)</f>
        <v>0</v>
      </c>
      <c r="CN4" s="15" t="n">
        <f aca="false">IF(CH4=0,0,INDEX($CA$2:$CA$57,CH4))</f>
        <v>0</v>
      </c>
      <c r="CO4" s="15" t="n">
        <f aca="false">CL4+$U$11+CN4+CJ4*$U$2</f>
        <v>0</v>
      </c>
      <c r="CP4" s="15" t="n">
        <f aca="false">CM4+CH4+CJ4</f>
        <v>0</v>
      </c>
      <c r="CQ4" s="15" t="n">
        <f aca="false">IF(CP4&gt;0,MIN(600,INT((CO4/CP4*40)+0.5+0.000000001)),0)</f>
        <v>0</v>
      </c>
      <c r="CR4" s="15" t="n">
        <f aca="false">$U$9+CT4</f>
        <v>0</v>
      </c>
      <c r="CS4" s="15" t="n">
        <f aca="false">8</f>
        <v>8</v>
      </c>
      <c r="CT4" s="15" t="n">
        <f aca="false">$U$10+MAX(0,CH4-$U$8)+CJ4*IF($U$2&lt;5,1,0)</f>
        <v>0</v>
      </c>
      <c r="CU4" s="15" t="n">
        <f aca="false">$U$11+CN4+CJ4*$U$2</f>
        <v>0</v>
      </c>
      <c r="CV4" s="15" t="n">
        <f aca="false">IF(CQ4&gt;=200,1,0)</f>
        <v>0</v>
      </c>
      <c r="CW4" s="15" t="n">
        <f aca="false">IF(CR4&lt;=CS4,1,0)</f>
        <v>1</v>
      </c>
      <c r="CX4" s="15" t="n">
        <f aca="false">IF($U$9&lt;=3,1,0)</f>
        <v>1</v>
      </c>
      <c r="CY4" s="15" t="n">
        <f aca="false">1</f>
        <v>1</v>
      </c>
      <c r="CZ4" s="15" t="n">
        <f aca="false">1</f>
        <v>1</v>
      </c>
      <c r="DA4" s="15" t="n">
        <f aca="false">1</f>
        <v>1</v>
      </c>
      <c r="DB4" s="15" t="n">
        <f aca="false">IF($U$12=0,1,0)</f>
        <v>1</v>
      </c>
      <c r="DC4" s="15" t="n">
        <f aca="false">1</f>
        <v>1</v>
      </c>
      <c r="DD4" s="15" t="n">
        <f aca="false">1</f>
        <v>1</v>
      </c>
      <c r="DE4" s="15" t="n">
        <f aca="false">IF(CF4&lt;0,0,1)</f>
        <v>1</v>
      </c>
      <c r="DF4" s="15" t="n">
        <f aca="false">IF(CV4*CW4*CX4*CY4*CZ4*DA4*DB4*DC4*DD4*DE4=1,1,0)</f>
        <v>0</v>
      </c>
      <c r="DG4" s="15" t="n">
        <f aca="false">$U$6+CI4</f>
        <v>40</v>
      </c>
      <c r="DH4" s="15" t="n">
        <f aca="false">DF4*1000000+CQ4*100+(100-CK4)</f>
        <v>100</v>
      </c>
    </row>
    <row r="5" customFormat="false" ht="30" hidden="false" customHeight="true" outlineLevel="0" collapsed="false">
      <c r="B5" s="17" t="s">
        <v>9</v>
      </c>
      <c r="C5" s="17" t="s">
        <v>112</v>
      </c>
      <c r="D5" s="18"/>
      <c r="E5" s="18" t="s">
        <v>113</v>
      </c>
      <c r="F5" s="18" t="s">
        <v>114</v>
      </c>
      <c r="G5" s="18" t="s">
        <v>115</v>
      </c>
      <c r="H5" s="18" t="s">
        <v>116</v>
      </c>
      <c r="I5" s="18" t="s">
        <v>11</v>
      </c>
      <c r="J5" s="18" t="s">
        <v>117</v>
      </c>
      <c r="L5" s="19" t="s">
        <v>118</v>
      </c>
      <c r="M5" s="20"/>
      <c r="N5" s="20"/>
      <c r="T5" s="15" t="s">
        <v>119</v>
      </c>
      <c r="U5" s="15" t="n">
        <f aca="false">AY6+AY7+AY8+AY9+AY10+AZ6+AZ7+AZ8+AZ9+AZ10+SUM($AA$12:$AA$25)</f>
        <v>0</v>
      </c>
      <c r="V5" s="15" t="n">
        <f aca="false">BG6+BG7+BG8+BG9+BG10+BH6+BH7+BH8+BH9+BH10+SUM($AE$12:$AE$25)</f>
        <v>20</v>
      </c>
      <c r="AH5" s="15" t="s">
        <v>120</v>
      </c>
      <c r="AM5" s="15" t="s">
        <v>121</v>
      </c>
      <c r="AR5" s="15" t="s">
        <v>122</v>
      </c>
      <c r="AW5" s="15" t="s">
        <v>123</v>
      </c>
      <c r="AX5" s="15" t="s">
        <v>124</v>
      </c>
      <c r="AY5" s="15" t="s">
        <v>125</v>
      </c>
      <c r="AZ5" s="15" t="s">
        <v>126</v>
      </c>
      <c r="BA5" s="15" t="s">
        <v>127</v>
      </c>
      <c r="BB5" s="15" t="s">
        <v>128</v>
      </c>
      <c r="BC5" s="15" t="s">
        <v>129</v>
      </c>
      <c r="BD5" s="15" t="s">
        <v>130</v>
      </c>
      <c r="BE5" s="15" t="s">
        <v>131</v>
      </c>
      <c r="BF5" s="15" t="s">
        <v>132</v>
      </c>
      <c r="BG5" s="15" t="s">
        <v>133</v>
      </c>
      <c r="BH5" s="15" t="s">
        <v>134</v>
      </c>
      <c r="BI5" s="15" t="s">
        <v>135</v>
      </c>
      <c r="BJ5" s="15" t="s">
        <v>136</v>
      </c>
      <c r="BK5" s="15" t="s">
        <v>137</v>
      </c>
      <c r="BL5" s="15" t="s">
        <v>138</v>
      </c>
      <c r="BN5" s="15" t="s">
        <v>139</v>
      </c>
      <c r="BO5" s="15" t="s">
        <v>140</v>
      </c>
      <c r="BP5" s="15" t="s">
        <v>141</v>
      </c>
      <c r="BQ5" s="15" t="s">
        <v>128</v>
      </c>
      <c r="BR5" s="15" t="s">
        <v>142</v>
      </c>
      <c r="BT5" s="15" t="s">
        <v>143</v>
      </c>
      <c r="BU5" s="15" t="s">
        <v>144</v>
      </c>
      <c r="BV5" s="15" t="s">
        <v>145</v>
      </c>
      <c r="BW5" s="15" t="s">
        <v>136</v>
      </c>
      <c r="BX5" s="15" t="s">
        <v>146</v>
      </c>
      <c r="BZ5" s="15" t="n">
        <f aca="false">IFERROR(LARGE($AH$6:$AK$25,4),0)</f>
        <v>0</v>
      </c>
      <c r="CA5" s="15" t="n">
        <f aca="false">CA4+BZ5</f>
        <v>0</v>
      </c>
      <c r="CB5" s="15" t="n">
        <f aca="false">IFERROR(LARGE($AM$6:$AP$25,4),0)</f>
        <v>0</v>
      </c>
      <c r="CC5" s="15" t="n">
        <f aca="false">CC4+CB5</f>
        <v>0</v>
      </c>
      <c r="CE5" s="15" t="n">
        <f aca="false">40</f>
        <v>40</v>
      </c>
      <c r="CF5" s="15" t="n">
        <f aca="false">CE5-$U$5-$U$6-0</f>
        <v>20</v>
      </c>
      <c r="CG5" s="15" t="n">
        <f aca="false">MAX(0,CF5)</f>
        <v>20</v>
      </c>
      <c r="CH5" s="15" t="n">
        <f aca="false">MIN(CG5,$U$7)</f>
        <v>0</v>
      </c>
      <c r="CI5" s="15" t="n">
        <f aca="false">CG5-CH5</f>
        <v>20</v>
      </c>
      <c r="CJ5" s="15" t="n">
        <f aca="false">0</f>
        <v>0</v>
      </c>
      <c r="CK5" s="15" t="n">
        <f aca="false">$U$5+CH5+CJ5</f>
        <v>0</v>
      </c>
      <c r="CL5" s="15" t="n">
        <f aca="false">1*AW6+1*AX6+2*AW7+2*AX7+2*AW8+2*AX8</f>
        <v>0</v>
      </c>
      <c r="CM5" s="15" t="n">
        <f aca="false">1*AY6+1*AZ6+2*AY7+2*AZ7+2*AY8+2*AZ8+1*AY9+1*AZ9+1*AY10+1*AZ10+SUM($AA$12:$AA$25)</f>
        <v>0</v>
      </c>
      <c r="CN5" s="15" t="n">
        <f aca="false">IF(CH5=0,0,INDEX($CA$2:$CA$57,CH5))</f>
        <v>0</v>
      </c>
      <c r="CO5" s="15" t="n">
        <f aca="false">CL5+$U$11+CN5+CJ5*$U$2</f>
        <v>0</v>
      </c>
      <c r="CP5" s="15" t="n">
        <f aca="false">CM5+CH5+CJ5</f>
        <v>0</v>
      </c>
      <c r="CQ5" s="15" t="n">
        <f aca="false">IF(CP5&gt;0,MIN(600,INT((CO5/CP5*40)+0.5+0.000000001)),0)</f>
        <v>0</v>
      </c>
      <c r="CR5" s="15" t="n">
        <f aca="false">$U$9+CT5</f>
        <v>0</v>
      </c>
      <c r="CS5" s="15" t="n">
        <f aca="false">8</f>
        <v>8</v>
      </c>
      <c r="CT5" s="15" t="n">
        <f aca="false">$U$10+MAX(0,CH5-$U$8)+CJ5*IF($U$2&lt;5,1,0)</f>
        <v>0</v>
      </c>
      <c r="CU5" s="15" t="n">
        <f aca="false">$U$11+CN5+CJ5*$U$2</f>
        <v>0</v>
      </c>
      <c r="CV5" s="15" t="n">
        <f aca="false">IF(CQ5&gt;=200,1,0)</f>
        <v>0</v>
      </c>
      <c r="CW5" s="15" t="n">
        <f aca="false">IF(CR5&lt;=CS5,1,0)</f>
        <v>1</v>
      </c>
      <c r="CX5" s="15" t="n">
        <f aca="false">IF($U$9&lt;=3,1,0)</f>
        <v>1</v>
      </c>
      <c r="CY5" s="15" t="n">
        <f aca="false">1</f>
        <v>1</v>
      </c>
      <c r="CZ5" s="15" t="n">
        <f aca="false">1</f>
        <v>1</v>
      </c>
      <c r="DA5" s="15" t="n">
        <f aca="false">1</f>
        <v>1</v>
      </c>
      <c r="DB5" s="15" t="n">
        <f aca="false">IF($U$12=0,1,0)</f>
        <v>1</v>
      </c>
      <c r="DC5" s="15" t="n">
        <f aca="false">1</f>
        <v>1</v>
      </c>
      <c r="DD5" s="15" t="n">
        <f aca="false">1</f>
        <v>1</v>
      </c>
      <c r="DE5" s="15" t="n">
        <f aca="false">IF(CF5&lt;0,0,1)</f>
        <v>1</v>
      </c>
      <c r="DF5" s="15" t="n">
        <f aca="false">IF(CV5*CW5*CX5*CY5*CZ5*DA5*DB5*DC5*DD5*DE5=1,1,0)</f>
        <v>0</v>
      </c>
      <c r="DG5" s="15" t="n">
        <f aca="false">$U$6+CI5</f>
        <v>40</v>
      </c>
      <c r="DH5" s="15" t="n">
        <f aca="false">DF5*1000000+CQ5*100+(100-CK5)</f>
        <v>100</v>
      </c>
    </row>
    <row r="6" customFormat="false" ht="39.75" hidden="false" customHeight="true" outlineLevel="0" collapsed="false">
      <c r="B6" s="21" t="s">
        <v>147</v>
      </c>
      <c r="C6" s="22"/>
      <c r="D6" s="23" t="s">
        <v>148</v>
      </c>
      <c r="E6" s="24"/>
      <c r="F6" s="24"/>
      <c r="G6" s="24"/>
      <c r="H6" s="24"/>
      <c r="I6" s="25"/>
      <c r="J6" s="24"/>
      <c r="L6" s="26" t="s">
        <v>149</v>
      </c>
      <c r="M6" s="27" t="str">
        <f aca="false">IF($U$4=0,"Noch keine Eingaben – trag deine Punkte in die gelben Felder ein.",IF($U$37=1,"Endergebnis (alle Felder ausgefüllt)","Prognose: "&amp;$U$36&amp;" Felder offen, gefüllt mit deinem Schnitt von "&amp;FIXED($U$2,1)&amp;" Punkten"))</f>
        <v>Noch keine Eingaben – trag deine Punkte in die gelben Felder ein.</v>
      </c>
      <c r="N6" s="27"/>
      <c r="T6" s="15" t="s">
        <v>150</v>
      </c>
      <c r="U6" s="15" t="n">
        <f aca="false">BC6+BC7+BC8+BC9+BC10</f>
        <v>20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IF(BN6="","",IF(ISNUMBER($J$6),INT(((2*BN6+$J$6)/3*$U$15)+0.5+0.000000001),BN6*$U$15))</f>
        <v/>
      </c>
      <c r="BP6" s="15" t="n">
        <f aca="false">IF(BO6="",0,IF(BO6&gt;=5*$U$15-0.000000001,1,0))</f>
        <v>0</v>
      </c>
      <c r="BQ6" s="15" t="n">
        <f aca="false">IF(BO6="",0,IF(BO6&lt;0.000000001,1,0))</f>
        <v>0</v>
      </c>
      <c r="BR6" s="15" t="n">
        <f aca="false">IF(BO6="",0,IF(BO6&lt;1*$U$15-0.000000001,1,0))</f>
        <v>0</v>
      </c>
      <c r="BT6" s="15" t="n">
        <f aca="false">IF(ISNUMBER($I$6),$I$6,$U$3)</f>
        <v>7</v>
      </c>
      <c r="BU6" s="15" t="n">
        <f aca="false">IF(BT6="","",IF(ISNUMBER($J$6),INT(((2*BT6+$J$6)/3*$U$15)+0.5+0.000000001),BT6*$U$15))</f>
        <v>28</v>
      </c>
      <c r="BV6" s="15" t="n">
        <f aca="false">IF(BU6="",0,IF(BU6&gt;=5*$U$15-0.000000001,1,0))</f>
        <v>1</v>
      </c>
      <c r="BW6" s="15" t="n">
        <f aca="false">IF(BU6="",0,IF(BU6&lt;0.000000001,1,0))</f>
        <v>0</v>
      </c>
      <c r="BX6" s="15" t="n">
        <f aca="false">IF(BU6="",0,IF(BU6&lt;1*$U$15-0.000000001,1,0))</f>
        <v>0</v>
      </c>
      <c r="BZ6" s="15" t="n">
        <f aca="false">IFERROR(LARGE($AH$6:$AK$25,5),0)</f>
        <v>0</v>
      </c>
      <c r="CA6" s="15" t="n">
        <f aca="false">CA5+BZ6</f>
        <v>0</v>
      </c>
      <c r="CB6" s="15" t="n">
        <f aca="false">IFERROR(LARGE($AM$6:$AP$25,5),0)</f>
        <v>0</v>
      </c>
      <c r="CC6" s="15" t="n">
        <f aca="false">CC5+CB6</f>
        <v>0</v>
      </c>
    </row>
    <row r="7" customFormat="false" ht="37.5" hidden="false" customHeight="true" outlineLevel="0" collapsed="false">
      <c r="B7" s="21" t="s">
        <v>151</v>
      </c>
      <c r="C7" s="22"/>
      <c r="D7" s="23" t="s">
        <v>148</v>
      </c>
      <c r="E7" s="24"/>
      <c r="F7" s="24"/>
      <c r="G7" s="24"/>
      <c r="H7" s="24"/>
      <c r="I7" s="25"/>
      <c r="J7" s="24"/>
      <c r="L7" s="26" t="s">
        <v>152</v>
      </c>
      <c r="M7" s="28" t="str">
        <f aca="false">IF($U$4=0,"",$U$38)</f>
        <v/>
      </c>
      <c r="N7" s="29" t="s">
        <v>153</v>
      </c>
      <c r="T7" s="15" t="s">
        <v>154</v>
      </c>
      <c r="U7" s="15" t="n">
        <f aca="false">COUNT($AH$6:$AK$25)</f>
        <v>0</v>
      </c>
      <c r="V7" s="15" t="n">
        <f aca="false">COUNT($AM$6:$AP$25)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IF(BN7="","",IF(ISNUMBER($J$7),INT(((2*BN7+$J$7)/3*$U$15)+0.5+0.000000001),BN7*$U$15))</f>
        <v/>
      </c>
      <c r="BP7" s="15" t="n">
        <f aca="false">IF(BO7="",0,IF(BO7&gt;=5*$U$15-0.000000001,1,0))</f>
        <v>0</v>
      </c>
      <c r="BQ7" s="15" t="n">
        <f aca="false">IF(BO7="",0,IF(BO7&lt;0.000000001,1,0))</f>
        <v>0</v>
      </c>
      <c r="BR7" s="15" t="n">
        <f aca="false">IF(BO7="",0,IF(BO7&lt;1*$U$15-0.000000001,1,0))</f>
        <v>0</v>
      </c>
      <c r="BT7" s="15" t="n">
        <f aca="false">IF(ISNUMBER($I$7),$I$7,$U$3)</f>
        <v>7</v>
      </c>
      <c r="BU7" s="15" t="n">
        <f aca="false">IF(BT7="","",IF(ISNUMBER($J$7),INT(((2*BT7+$J$7)/3*$U$15)+0.5+0.000000001),BT7*$U$15))</f>
        <v>28</v>
      </c>
      <c r="BV7" s="15" t="n">
        <f aca="false">IF(BU7="",0,IF(BU7&gt;=5*$U$15-0.000000001,1,0))</f>
        <v>1</v>
      </c>
      <c r="BW7" s="15" t="n">
        <f aca="false">IF(BU7="",0,IF(BU7&lt;0.000000001,1,0))</f>
        <v>0</v>
      </c>
      <c r="BX7" s="15" t="n">
        <f aca="false">IF(BU7="",0,IF(BU7&lt;1*$U$15-0.000000001,1,0))</f>
        <v>0</v>
      </c>
      <c r="BZ7" s="15" t="n">
        <f aca="false">IFERROR(LARGE($AH$6:$AK$25,6),0)</f>
        <v>0</v>
      </c>
      <c r="CA7" s="15" t="n">
        <f aca="false">CA6+BZ7</f>
        <v>0</v>
      </c>
      <c r="CB7" s="15" t="n">
        <f aca="false">IFERROR(LARGE($AM$6:$AP$25,6),0)</f>
        <v>0</v>
      </c>
      <c r="CC7" s="15" t="n">
        <f aca="false">CC6+CB7</f>
        <v>0</v>
      </c>
    </row>
    <row r="8" customFormat="false" ht="37.5" hidden="false" customHeight="true" outlineLevel="0" collapsed="false">
      <c r="B8" s="21" t="s">
        <v>155</v>
      </c>
      <c r="C8" s="22"/>
      <c r="D8" s="23" t="s">
        <v>148</v>
      </c>
      <c r="E8" s="24"/>
      <c r="F8" s="24"/>
      <c r="G8" s="24"/>
      <c r="H8" s="24"/>
      <c r="I8" s="25"/>
      <c r="J8" s="24"/>
      <c r="L8" s="26" t="s">
        <v>156</v>
      </c>
      <c r="M8" s="28" t="str">
        <f aca="false">IF($U$4=0,"",$U$61)</f>
        <v/>
      </c>
      <c r="N8" s="29" t="s">
        <v>157</v>
      </c>
      <c r="T8" s="15" t="s">
        <v>158</v>
      </c>
      <c r="U8" s="15" t="n">
        <f aca="false">COUNTIF($AH$6:$AK$25,"&gt;=5")</f>
        <v>0</v>
      </c>
      <c r="V8" s="15" t="n">
        <f aca="false">COUNTIF($AM$6:$AP$25,"&gt;=5")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IF(BN8="","",IF(ISNUMBER($J$8),INT(((2*BN8+$J$8)/3*$U$15)+0.5+0.000000001),BN8*$U$15))</f>
        <v/>
      </c>
      <c r="BP8" s="15" t="n">
        <f aca="false">IF(BO8="",0,IF(BO8&gt;=5*$U$15-0.000000001,1,0))</f>
        <v>0</v>
      </c>
      <c r="BQ8" s="15" t="n">
        <f aca="false">IF(BO8="",0,IF(BO8&lt;0.000000001,1,0))</f>
        <v>0</v>
      </c>
      <c r="BR8" s="15" t="n">
        <f aca="false">IF(BO8="",0,IF(BO8&lt;1*$U$15-0.000000001,1,0))</f>
        <v>0</v>
      </c>
      <c r="BT8" s="15" t="n">
        <f aca="false">IF(ISNUMBER($I$8),$I$8,$U$3)</f>
        <v>7</v>
      </c>
      <c r="BU8" s="15" t="n">
        <f aca="false">IF(BT8="","",IF(ISNUMBER($J$8),INT(((2*BT8+$J$8)/3*$U$15)+0.5+0.000000001),BT8*$U$15))</f>
        <v>28</v>
      </c>
      <c r="BV8" s="15" t="n">
        <f aca="false">IF(BU8="",0,IF(BU8&gt;=5*$U$15-0.000000001,1,0))</f>
        <v>1</v>
      </c>
      <c r="BW8" s="15" t="n">
        <f aca="false">IF(BU8="",0,IF(BU8&lt;0.000000001,1,0))</f>
        <v>0</v>
      </c>
      <c r="BX8" s="15" t="n">
        <f aca="false">IF(BU8="",0,IF(BU8&lt;1*$U$15-0.000000001,1,0))</f>
        <v>0</v>
      </c>
      <c r="BZ8" s="15" t="n">
        <f aca="false">IFERROR(LARGE($AH$6:$AK$25,7),0)</f>
        <v>0</v>
      </c>
      <c r="CA8" s="15" t="n">
        <f aca="false">CA7+BZ8</f>
        <v>0</v>
      </c>
      <c r="CB8" s="15" t="n">
        <f aca="false">IFERROR(LARGE($AM$6:$AP$25,7),0)</f>
        <v>0</v>
      </c>
      <c r="CC8" s="15" t="n">
        <f aca="false">CC7+CB8</f>
        <v>0</v>
      </c>
    </row>
    <row r="9" customFormat="false" ht="37.5" hidden="false" customHeight="true" outlineLevel="0" collapsed="false">
      <c r="B9" s="21" t="s">
        <v>159</v>
      </c>
      <c r="C9" s="22"/>
      <c r="D9" s="23" t="s">
        <v>148</v>
      </c>
      <c r="E9" s="24"/>
      <c r="F9" s="24"/>
      <c r="G9" s="24"/>
      <c r="H9" s="24"/>
      <c r="I9" s="25"/>
      <c r="J9" s="30" t="s">
        <v>160</v>
      </c>
      <c r="L9" s="31" t="s">
        <v>161</v>
      </c>
      <c r="M9" s="32" t="str">
        <f aca="false">IF($U$4=0,"",$U$67)</f>
        <v/>
      </c>
      <c r="N9" s="29" t="s">
        <v>162</v>
      </c>
      <c r="T9" s="15" t="s">
        <v>163</v>
      </c>
      <c r="U9" s="15" t="n">
        <f aca="false">BA6+BA7+BA8</f>
        <v>0</v>
      </c>
      <c r="V9" s="15" t="n">
        <f aca="false">BI6+BI7+BI8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IF(BN9="","",BN9*$U$15)</f>
        <v/>
      </c>
      <c r="BP9" s="15" t="n">
        <f aca="false">IF(BO9="",0,IF(BO9&gt;=5*$U$15-0.000000001,1,0))</f>
        <v>0</v>
      </c>
      <c r="BQ9" s="15" t="n">
        <f aca="false">IF(BO9="",0,IF(BO9&lt;0.000000001,1,0))</f>
        <v>0</v>
      </c>
      <c r="BR9" s="15" t="n">
        <f aca="false">IF(BO9="",0,IF(BO9&lt;1*$U$15-0.000000001,1,0))</f>
        <v>0</v>
      </c>
      <c r="BT9" s="15" t="n">
        <f aca="false">IF(ISNUMBER($I$9),$I$9,$U$3)</f>
        <v>7</v>
      </c>
      <c r="BU9" s="15" t="n">
        <f aca="false">IF(BT9="","",BT9*$U$15)</f>
        <v>28</v>
      </c>
      <c r="BV9" s="15" t="n">
        <f aca="false">IF(BU9="",0,IF(BU9&gt;=5*$U$15-0.000000001,1,0))</f>
        <v>1</v>
      </c>
      <c r="BW9" s="15" t="n">
        <f aca="false">IF(BU9="",0,IF(BU9&lt;0.000000001,1,0))</f>
        <v>0</v>
      </c>
      <c r="BX9" s="15" t="n">
        <f aca="false">IF(BU9="",0,IF(BU9&lt;1*$U$15-0.000000001,1,0))</f>
        <v>0</v>
      </c>
      <c r="BZ9" s="15" t="n">
        <f aca="false">IFERROR(LARGE($AH$6:$AK$25,8),0)</f>
        <v>0</v>
      </c>
      <c r="CA9" s="15" t="n">
        <f aca="false">CA8+BZ9</f>
        <v>0</v>
      </c>
      <c r="CB9" s="15" t="n">
        <f aca="false">IFERROR(LARGE($AM$6:$AP$25,8),0)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21" t="s">
        <v>164</v>
      </c>
      <c r="C10" s="22"/>
      <c r="D10" s="23" t="s">
        <v>148</v>
      </c>
      <c r="E10" s="24"/>
      <c r="F10" s="24"/>
      <c r="G10" s="24"/>
      <c r="H10" s="24"/>
      <c r="I10" s="25"/>
      <c r="J10" s="30" t="s">
        <v>160</v>
      </c>
      <c r="L10" s="31" t="s">
        <v>165</v>
      </c>
      <c r="M10" s="33" t="str">
        <f aca="false">IF($U$4=0,"",IF($U$69=1,$U$70/10,"nicht bestanden"))</f>
        <v/>
      </c>
      <c r="N10" s="29"/>
      <c r="T10" s="15" t="s">
        <v>166</v>
      </c>
      <c r="U10" s="15" t="n">
        <f aca="false">BA9+BA10+SUM($AB$12:$AB$25)</f>
        <v>0</v>
      </c>
      <c r="V10" s="15" t="n">
        <f aca="false">BI9+BI10+SUM($AF$12:$AF$25)</f>
        <v>0</v>
      </c>
      <c r="AR10" s="15" t="n">
        <f aca="false">IF(ISNUMBER(E10),1,0)</f>
        <v>0</v>
      </c>
      <c r="AS10" s="15" t="n">
        <f aca="false">IF(ISNUMBER(F10),1,0)</f>
        <v>0</v>
      </c>
      <c r="AT10" s="15" t="n">
        <f aca="false">IF(ISNUMBER(G10),1,0)</f>
        <v>0</v>
      </c>
      <c r="AU10" s="15" t="n">
        <f aca="false">IF(ISNUMBER(H10),1,0)</f>
        <v>0</v>
      </c>
      <c r="AW10" s="15" t="n">
        <f aca="false">SUM(E10:G10)</f>
        <v>0</v>
      </c>
      <c r="AX10" s="15" t="n">
        <f aca="false">SUM(H10:H10)</f>
        <v>0</v>
      </c>
      <c r="AY10" s="15" t="n">
        <f aca="false">COUNT(E10:G10)</f>
        <v>0</v>
      </c>
      <c r="AZ10" s="15" t="n">
        <f aca="false">COUNT(H10:H10)</f>
        <v>0</v>
      </c>
      <c r="BA10" s="15" t="n">
        <f aca="false">COUNTIF(E10:H10,"&lt;5")</f>
        <v>0</v>
      </c>
      <c r="BB10" s="15" t="n">
        <f aca="false">COUNTIF(E10:H10,0)</f>
        <v>0</v>
      </c>
      <c r="BC10" s="15" t="n">
        <f aca="false">4-COUNT(E10:H10)</f>
        <v>4</v>
      </c>
      <c r="BD10" s="15" t="n">
        <f aca="false">SUM(E10:H10)</f>
        <v>0</v>
      </c>
      <c r="BE10" s="15" t="n">
        <f aca="false">SUM(E10:G10)+$U$2*(3-COUNT(E10:G10))</f>
        <v>21</v>
      </c>
      <c r="BF10" s="15" t="n">
        <f aca="false">SUM(H10:H10)+$U$2*(1-COUNT(H10:H10))</f>
        <v>7</v>
      </c>
      <c r="BG10" s="15" t="n">
        <f aca="false">3</f>
        <v>3</v>
      </c>
      <c r="BH10" s="15" t="n">
        <f aca="false">1</f>
        <v>1</v>
      </c>
      <c r="BI10" s="15" t="n">
        <f aca="false">COUNTIF(E10:H10,"&lt;5")+IF($U$2&lt;5,1,0)*(4-COUNT(E10:H10))</f>
        <v>0</v>
      </c>
      <c r="BJ10" s="15" t="n">
        <f aca="false">COUNTIF(E10:H10,0)</f>
        <v>0</v>
      </c>
      <c r="BK10" s="15" t="n">
        <f aca="false">0</f>
        <v>0</v>
      </c>
      <c r="BL10" s="15" t="n">
        <f aca="false">SUM(E10:H10)+$U$2*(4-COUNT(E10:H10))</f>
        <v>28</v>
      </c>
      <c r="BN10" s="15" t="str">
        <f aca="false">IF(ISNUMBER($I$10),$I$10,"")</f>
        <v/>
      </c>
      <c r="BO10" s="15" t="str">
        <f aca="false">IF(BN10="","",BN10*$U$15)</f>
        <v/>
      </c>
      <c r="BP10" s="15" t="n">
        <f aca="false">IF(BO10="",0,IF(BO10&gt;=5*$U$15-0.000000001,1,0))</f>
        <v>0</v>
      </c>
      <c r="BQ10" s="15" t="n">
        <f aca="false">IF(BO10="",0,IF(BO10&lt;0.000000001,1,0))</f>
        <v>0</v>
      </c>
      <c r="BR10" s="15" t="n">
        <f aca="false">IF(BO10="",0,IF(BO10&lt;1*$U$15-0.000000001,1,0))</f>
        <v>0</v>
      </c>
      <c r="BT10" s="15" t="n">
        <f aca="false">IF(ISNUMBER($I$10),$I$10,$U$3)</f>
        <v>7</v>
      </c>
      <c r="BU10" s="15" t="n">
        <f aca="false">IF(BT10="","",BT10*$U$15)</f>
        <v>28</v>
      </c>
      <c r="BV10" s="15" t="n">
        <f aca="false">IF(BU10="",0,IF(BU10&gt;=5*$U$15-0.000000001,1,0))</f>
        <v>1</v>
      </c>
      <c r="BW10" s="15" t="n">
        <f aca="false">IF(BU10="",0,IF(BU10&lt;0.000000001,1,0))</f>
        <v>0</v>
      </c>
      <c r="BX10" s="15" t="n">
        <f aca="false">IF(BU10="",0,IF(BU10&lt;1*$U$15-0.000000001,1,0))</f>
        <v>0</v>
      </c>
      <c r="BZ10" s="15" t="n">
        <f aca="false">IFERROR(LARGE($AH$6:$AK$25,9),0)</f>
        <v>0</v>
      </c>
      <c r="CA10" s="15" t="n">
        <f aca="false">CA9+BZ10</f>
        <v>0</v>
      </c>
      <c r="CB10" s="15" t="n">
        <f aca="false">IFERROR(LARGE($AM$6:$AP$25,9),0)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6" t="s">
        <v>167</v>
      </c>
      <c r="C11" s="6" t="s">
        <v>112</v>
      </c>
      <c r="D11" s="34" t="s">
        <v>168</v>
      </c>
      <c r="E11" s="35" t="s">
        <v>113</v>
      </c>
      <c r="F11" s="35" t="s">
        <v>114</v>
      </c>
      <c r="G11" s="35" t="s">
        <v>115</v>
      </c>
      <c r="H11" s="35" t="s">
        <v>116</v>
      </c>
      <c r="I11" s="20"/>
      <c r="J11" s="20"/>
      <c r="L11" s="26" t="s">
        <v>169</v>
      </c>
      <c r="M11" s="28" t="str">
        <f aca="false">IF($U$4=0,"",IF($U$71="","–",$U$71))</f>
        <v/>
      </c>
      <c r="N11" s="29" t="str">
        <f aca="false">IF($U$4=0,"",IF($U$70="","Punkte bis 300",IF($U$71="","Bestnote erreicht","Punkte → "&amp;FIXED(($U$70-1)/10,1))))</f>
        <v/>
      </c>
      <c r="T11" s="15" t="s">
        <v>170</v>
      </c>
      <c r="U11" s="15" t="n">
        <f aca="false">AW9+AW10+AX9+AX10+SUM($Z$12:$Z$25)</f>
        <v>0</v>
      </c>
      <c r="V11" s="15" t="n">
        <f aca="false">BE9+BE10+BF9+BF10+SUM($AD$12:$AD$25)</f>
        <v>56</v>
      </c>
      <c r="X11" s="15" t="s">
        <v>171</v>
      </c>
      <c r="Y11" s="15" t="s">
        <v>172</v>
      </c>
      <c r="Z11" s="15" t="s">
        <v>173</v>
      </c>
      <c r="AA11" s="15" t="s">
        <v>174</v>
      </c>
      <c r="AB11" s="15" t="s">
        <v>127</v>
      </c>
      <c r="AC11" s="15" t="s">
        <v>128</v>
      </c>
      <c r="AD11" s="15" t="s">
        <v>175</v>
      </c>
      <c r="AE11" s="15" t="s">
        <v>176</v>
      </c>
      <c r="AF11" s="15" t="s">
        <v>135</v>
      </c>
      <c r="BZ11" s="15" t="n">
        <f aca="false">IFERROR(LARGE($AH$6:$AK$25,10),0)</f>
        <v>0</v>
      </c>
      <c r="CA11" s="15" t="n">
        <f aca="false">CA10+BZ11</f>
        <v>0</v>
      </c>
      <c r="CB11" s="15" t="n">
        <f aca="false">IFERROR(LARGE($AM$6:$AP$25,10),0)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6" t="s">
        <v>177</v>
      </c>
      <c r="C12" s="37"/>
      <c r="D12" s="38"/>
      <c r="E12" s="24"/>
      <c r="F12" s="24"/>
      <c r="G12" s="24"/>
      <c r="H12" s="24"/>
      <c r="I12" s="39"/>
      <c r="J12" s="39"/>
      <c r="L12" s="26" t="s">
        <v>178</v>
      </c>
      <c r="M12" s="28" t="str">
        <f aca="false">IF(OR($U$4=0,$U$72=""),"",$U$72)</f>
        <v/>
      </c>
      <c r="N12" s="29" t="str">
        <f aca="false">IF(OR($U$4=0,$U$72=""),"","Punkte Luft")</f>
        <v/>
      </c>
      <c r="T12" s="15" t="s">
        <v>179</v>
      </c>
      <c r="U12" s="15" t="n">
        <f aca="false">BB6+BB7+BB8+BB9+BB10+SUM($AC$12:$AC$25)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IF(Y12=1,IF(ISNUMBER(E12),1,0),IF(AH12="",0,IF(IF($U$37=1,COUNTIF($AH$6:$AK$25,"&gt;"&amp;AH12),COUNTIF($AM$6:$AP$25,"&gt;"&amp;AH12))+COUNTIF($AH$6:$AK$11,AH12)+1&lt;=$U$47,1,0)))</f>
        <v>0</v>
      </c>
      <c r="AS12" s="15" t="n">
        <f aca="false">IF(Y12=1,IF(ISNUMBER(F12),1,0),IF(AI12="",0,IF(IF($U$37=1,COUNTIF($AH$6:$AK$25,"&gt;"&amp;AI12),COUNTIF($AM$6:$AP$25,"&gt;"&amp;AI12))+COUNTIF($AH$6:$AK$11,AI12)+COUNTIF($AH12:AH12,AI12)+1&lt;=$U$47,1,0)))</f>
        <v>0</v>
      </c>
      <c r="AT12" s="15" t="n">
        <f aca="false">IF(Y12=1,IF(ISNUMBER(G12),1,0),IF(AJ12="",0,IF(IF($U$37=1,COUNTIF($AH$6:$AK$25,"&gt;"&amp;AJ12),COUNTIF($AM$6:$AP$25,"&gt;"&amp;AJ12))+COUNTIF($AH$6:$AK$11,AJ12)+COUNTIF($AH12:AI12,AJ12)+1&lt;=$U$47,1,0)))</f>
        <v>0</v>
      </c>
      <c r="AU12" s="15" t="n">
        <f aca="false">IF(Y12=1,IF(ISNUMBER(H12),1,0),IF(AK12="",0,IF(IF($U$37=1,COUNTIF($AH$6:$AK$25,"&gt;"&amp;AK12),COUNTIF($AM$6:$AP$25,"&gt;"&amp;AK12))+COUNTIF($AH$6:$AK$11,AK12)+COUNTIF($AH12:AJ12,AK12)+1&lt;=$U$47,1,0)))</f>
        <v>0</v>
      </c>
      <c r="BZ12" s="15" t="n">
        <f aca="false">IFERROR(LARGE($AH$6:$AK$25,11),0)</f>
        <v>0</v>
      </c>
      <c r="CA12" s="15" t="n">
        <f aca="false">CA11+BZ12</f>
        <v>0</v>
      </c>
      <c r="CB12" s="15" t="n">
        <f aca="false">IFERROR(LARGE($AM$6:$AP$25,11),0)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180</v>
      </c>
      <c r="C13" s="37"/>
      <c r="D13" s="38"/>
      <c r="E13" s="24"/>
      <c r="F13" s="24"/>
      <c r="G13" s="24"/>
      <c r="H13" s="24"/>
      <c r="I13" s="39"/>
      <c r="J13" s="39"/>
      <c r="L13" s="26" t="s">
        <v>181</v>
      </c>
      <c r="M13" s="28" t="str">
        <f aca="false">IF($U$4=0,"",$U$39)</f>
        <v/>
      </c>
      <c r="N13" s="29" t="str">
        <f aca="false">IF($U$4=0,"","Formel: "&amp;FIXED($U$46,1)&amp;" / "&amp;$U$45&amp;" × 40")</f>
        <v/>
      </c>
      <c r="T13" s="15" t="s">
        <v>182</v>
      </c>
      <c r="U13" s="15" t="n">
        <f aca="false">MATCH(MAX($DH$3:$DH$5),$DH$3:$DH$5,0)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IF(Y13=1,IF(ISNUMBER(E13),1,0),IF(AH13="",0,IF(IF($U$37=1,COUNTIF($AH$6:$AK$25,"&gt;"&amp;AH13),COUNTIF($AM$6:$AP$25,"&gt;"&amp;AH13))+COUNTIF($AH$6:$AK$12,AH13)+1&lt;=$U$47,1,0)))</f>
        <v>0</v>
      </c>
      <c r="AS13" s="15" t="n">
        <f aca="false">IF(Y13=1,IF(ISNUMBER(F13),1,0),IF(AI13="",0,IF(IF($U$37=1,COUNTIF($AH$6:$AK$25,"&gt;"&amp;AI13),COUNTIF($AM$6:$AP$25,"&gt;"&amp;AI13))+COUNTIF($AH$6:$AK$12,AI13)+COUNTIF($AH13:AH13,AI13)+1&lt;=$U$47,1,0)))</f>
        <v>0</v>
      </c>
      <c r="AT13" s="15" t="n">
        <f aca="false">IF(Y13=1,IF(ISNUMBER(G13),1,0),IF(AJ13="",0,IF(IF($U$37=1,COUNTIF($AH$6:$AK$25,"&gt;"&amp;AJ13),COUNTIF($AM$6:$AP$25,"&gt;"&amp;AJ13))+COUNTIF($AH$6:$AK$12,AJ13)+COUNTIF($AH13:AI13,AJ13)+1&lt;=$U$47,1,0)))</f>
        <v>0</v>
      </c>
      <c r="AU13" s="15" t="n">
        <f aca="false">IF(Y13=1,IF(ISNUMBER(H13),1,0),IF(AK13="",0,IF(IF($U$37=1,COUNTIF($AH$6:$AK$25,"&gt;"&amp;AK13),COUNTIF($AM$6:$AP$25,"&gt;"&amp;AK13))+COUNTIF($AH$6:$AK$12,AK13)+COUNTIF($AH13:AJ13,AK13)+1&lt;=$U$47,1,0)))</f>
        <v>0</v>
      </c>
      <c r="BZ13" s="15" t="n">
        <f aca="false">IFERROR(LARGE($AH$6:$AK$25,12),0)</f>
        <v>0</v>
      </c>
      <c r="CA13" s="15" t="n">
        <f aca="false">CA12+BZ13</f>
        <v>0</v>
      </c>
      <c r="CB13" s="15" t="n">
        <f aca="false">IFERROR(LARGE($AM$6:$AP$25,12),0)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183</v>
      </c>
      <c r="C14" s="37"/>
      <c r="D14" s="38"/>
      <c r="E14" s="24"/>
      <c r="F14" s="24"/>
      <c r="G14" s="24"/>
      <c r="H14" s="24"/>
      <c r="I14" s="39"/>
      <c r="J14" s="39"/>
      <c r="L14" s="26" t="s">
        <v>184</v>
      </c>
      <c r="M14" s="28" t="str">
        <f aca="false">IF($U$4=0,"",$U$40)</f>
        <v/>
      </c>
      <c r="N14" s="29" t="str">
        <f aca="false">IF($U$4=0,"","erlaubt: höchstens "&amp;$U$41)</f>
        <v/>
      </c>
      <c r="T14" s="15" t="s">
        <v>185</v>
      </c>
      <c r="U14" s="15" t="n">
        <f aca="false">MATCH(MAX($DH$23:$DH$25),$DH$23:$DH$25,0)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IF(Y14=1,IF(ISNUMBER(E14),1,0),IF(AH14="",0,IF(IF($U$37=1,COUNTIF($AH$6:$AK$25,"&gt;"&amp;AH14),COUNTIF($AM$6:$AP$25,"&gt;"&amp;AH14))+COUNTIF($AH$6:$AK$13,AH14)+1&lt;=$U$47,1,0)))</f>
        <v>0</v>
      </c>
      <c r="AS14" s="15" t="n">
        <f aca="false">IF(Y14=1,IF(ISNUMBER(F14),1,0),IF(AI14="",0,IF(IF($U$37=1,COUNTIF($AH$6:$AK$25,"&gt;"&amp;AI14),COUNTIF($AM$6:$AP$25,"&gt;"&amp;AI14))+COUNTIF($AH$6:$AK$13,AI14)+COUNTIF($AH14:AH14,AI14)+1&lt;=$U$47,1,0)))</f>
        <v>0</v>
      </c>
      <c r="AT14" s="15" t="n">
        <f aca="false">IF(Y14=1,IF(ISNUMBER(G14),1,0),IF(AJ14="",0,IF(IF($U$37=1,COUNTIF($AH$6:$AK$25,"&gt;"&amp;AJ14),COUNTIF($AM$6:$AP$25,"&gt;"&amp;AJ14))+COUNTIF($AH$6:$AK$13,AJ14)+COUNTIF($AH14:AI14,AJ14)+1&lt;=$U$47,1,0)))</f>
        <v>0</v>
      </c>
      <c r="AU14" s="15" t="n">
        <f aca="false">IF(Y14=1,IF(ISNUMBER(H14),1,0),IF(AK14="",0,IF(IF($U$37=1,COUNTIF($AH$6:$AK$25,"&gt;"&amp;AK14),COUNTIF($AM$6:$AP$25,"&gt;"&amp;AK14))+COUNTIF($AH$6:$AK$13,AK14)+COUNTIF($AH14:AJ14,AK14)+1&lt;=$U$47,1,0)))</f>
        <v>0</v>
      </c>
      <c r="BZ14" s="15" t="n">
        <f aca="false">IFERROR(LARGE($AH$6:$AK$25,13),0)</f>
        <v>0</v>
      </c>
      <c r="CA14" s="15" t="n">
        <f aca="false">CA13+BZ14</f>
        <v>0</v>
      </c>
      <c r="CB14" s="15" t="n">
        <f aca="false">IFERROR(LARGE($AM$6:$AP$25,13),0)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186</v>
      </c>
      <c r="C15" s="37"/>
      <c r="D15" s="38"/>
      <c r="E15" s="24"/>
      <c r="F15" s="24"/>
      <c r="G15" s="24"/>
      <c r="H15" s="24"/>
      <c r="I15" s="39"/>
      <c r="J15" s="39"/>
      <c r="L15" s="26" t="s">
        <v>187</v>
      </c>
      <c r="M15" s="28" t="str">
        <f aca="false">IF($U$4=0,"","+"&amp;$U$15)</f>
        <v/>
      </c>
      <c r="N15" s="29" t="s">
        <v>188</v>
      </c>
      <c r="T15" s="15" t="s">
        <v>189</v>
      </c>
      <c r="U15" s="15" t="n">
        <f aca="false">4</f>
        <v>4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IF(Y15=1,IF(ISNUMBER(E15),1,0),IF(AH15="",0,IF(IF($U$37=1,COUNTIF($AH$6:$AK$25,"&gt;"&amp;AH15),COUNTIF($AM$6:$AP$25,"&gt;"&amp;AH15))+COUNTIF($AH$6:$AK$14,AH15)+1&lt;=$U$47,1,0)))</f>
        <v>0</v>
      </c>
      <c r="AS15" s="15" t="n">
        <f aca="false">IF(Y15=1,IF(ISNUMBER(F15),1,0),IF(AI15="",0,IF(IF($U$37=1,COUNTIF($AH$6:$AK$25,"&gt;"&amp;AI15),COUNTIF($AM$6:$AP$25,"&gt;"&amp;AI15))+COUNTIF($AH$6:$AK$14,AI15)+COUNTIF($AH15:AH15,AI15)+1&lt;=$U$47,1,0)))</f>
        <v>0</v>
      </c>
      <c r="AT15" s="15" t="n">
        <f aca="false">IF(Y15=1,IF(ISNUMBER(G15),1,0),IF(AJ15="",0,IF(IF($U$37=1,COUNTIF($AH$6:$AK$25,"&gt;"&amp;AJ15),COUNTIF($AM$6:$AP$25,"&gt;"&amp;AJ15))+COUNTIF($AH$6:$AK$14,AJ15)+COUNTIF($AH15:AI15,AJ15)+1&lt;=$U$47,1,0)))</f>
        <v>0</v>
      </c>
      <c r="AU15" s="15" t="n">
        <f aca="false">IF(Y15=1,IF(ISNUMBER(H15),1,0),IF(AK15="",0,IF(IF($U$37=1,COUNTIF($AH$6:$AK$25,"&gt;"&amp;AK15),COUNTIF($AM$6:$AP$25,"&gt;"&amp;AK15))+COUNTIF($AH$6:$AK$14,AK15)+COUNTIF($AH15:AJ15,AK15)+1&lt;=$U$47,1,0)))</f>
        <v>0</v>
      </c>
      <c r="BZ15" s="15" t="n">
        <f aca="false">IFERROR(LARGE($AH$6:$AK$25,14),0)</f>
        <v>0</v>
      </c>
      <c r="CA15" s="15" t="n">
        <f aca="false">CA14+BZ15</f>
        <v>0</v>
      </c>
      <c r="CB15" s="15" t="n">
        <f aca="false">IFERROR(LARGE($AM$6:$AP$25,14),0)</f>
        <v>0</v>
      </c>
      <c r="CC15" s="15" t="n">
        <f aca="false">CC14+CB15</f>
        <v>0</v>
      </c>
    </row>
    <row r="16" customFormat="false" ht="15" hidden="false" customHeight="false" outlineLevel="0" collapsed="false">
      <c r="B16" s="36" t="s">
        <v>190</v>
      </c>
      <c r="C16" s="37"/>
      <c r="D16" s="38"/>
      <c r="E16" s="24"/>
      <c r="F16" s="24"/>
      <c r="G16" s="24"/>
      <c r="H16" s="24"/>
      <c r="I16" s="39"/>
      <c r="J16" s="39"/>
      <c r="L16" s="26" t="s">
        <v>191</v>
      </c>
      <c r="M16" s="28" t="str">
        <f aca="false">IF($U$4=0,"","≈ +"&amp;FIXED(40/$U$45,2))</f>
        <v/>
      </c>
      <c r="N16" s="29" t="s">
        <v>192</v>
      </c>
      <c r="T16" s="15" t="s">
        <v>193</v>
      </c>
      <c r="U16" s="15" t="n">
        <f aca="false">MIN(300,INT((SUM(BO6,BO7,BO8,BO9,BO10))+0.5+0.000000001))</f>
        <v>0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IF(Y16=1,IF(ISNUMBER(E16),1,0),IF(AH16="",0,IF(IF($U$37=1,COUNTIF($AH$6:$AK$25,"&gt;"&amp;AH16),COUNTIF($AM$6:$AP$25,"&gt;"&amp;AH16))+COUNTIF($AH$6:$AK$15,AH16)+1&lt;=$U$47,1,0)))</f>
        <v>0</v>
      </c>
      <c r="AS16" s="15" t="n">
        <f aca="false">IF(Y16=1,IF(ISNUMBER(F16),1,0),IF(AI16="",0,IF(IF($U$37=1,COUNTIF($AH$6:$AK$25,"&gt;"&amp;AI16),COUNTIF($AM$6:$AP$25,"&gt;"&amp;AI16))+COUNTIF($AH$6:$AK$15,AI16)+COUNTIF($AH16:AH16,AI16)+1&lt;=$U$47,1,0)))</f>
        <v>0</v>
      </c>
      <c r="AT16" s="15" t="n">
        <f aca="false">IF(Y16=1,IF(ISNUMBER(G16),1,0),IF(AJ16="",0,IF(IF($U$37=1,COUNTIF($AH$6:$AK$25,"&gt;"&amp;AJ16),COUNTIF($AM$6:$AP$25,"&gt;"&amp;AJ16))+COUNTIF($AH$6:$AK$15,AJ16)+COUNTIF($AH16:AI16,AJ16)+1&lt;=$U$47,1,0)))</f>
        <v>0</v>
      </c>
      <c r="AU16" s="15" t="n">
        <f aca="false">IF(Y16=1,IF(ISNUMBER(H16),1,0),IF(AK16="",0,IF(IF($U$37=1,COUNTIF($AH$6:$AK$25,"&gt;"&amp;AK16),COUNTIF($AM$6:$AP$25,"&gt;"&amp;AK16))+COUNTIF($AH$6:$AK$15,AK16)+COUNTIF($AH16:AJ16,AK16)+1&lt;=$U$47,1,0)))</f>
        <v>0</v>
      </c>
      <c r="BZ16" s="15" t="n">
        <f aca="false">IFERROR(LARGE($AH$6:$AK$25,15),0)</f>
        <v>0</v>
      </c>
      <c r="CA16" s="15" t="n">
        <f aca="false">CA15+BZ16</f>
        <v>0</v>
      </c>
      <c r="CB16" s="15" t="n">
        <f aca="false">IFERROR(LARGE($AM$6:$AP$25,15),0)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194</v>
      </c>
      <c r="C17" s="37"/>
      <c r="D17" s="38"/>
      <c r="E17" s="24"/>
      <c r="F17" s="24"/>
      <c r="G17" s="24"/>
      <c r="H17" s="24"/>
      <c r="I17" s="39"/>
      <c r="J17" s="39"/>
      <c r="T17" s="15" t="s">
        <v>195</v>
      </c>
      <c r="U17" s="15" t="n">
        <f aca="false">SUM(BP6,BP7,BP8,BP9,BP10)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IF(Y17=1,IF(ISNUMBER(E17),1,0),IF(AH17="",0,IF(IF($U$37=1,COUNTIF($AH$6:$AK$25,"&gt;"&amp;AH17),COUNTIF($AM$6:$AP$25,"&gt;"&amp;AH17))+COUNTIF($AH$6:$AK$16,AH17)+1&lt;=$U$47,1,0)))</f>
        <v>0</v>
      </c>
      <c r="AS17" s="15" t="n">
        <f aca="false">IF(Y17=1,IF(ISNUMBER(F17),1,0),IF(AI17="",0,IF(IF($U$37=1,COUNTIF($AH$6:$AK$25,"&gt;"&amp;AI17),COUNTIF($AM$6:$AP$25,"&gt;"&amp;AI17))+COUNTIF($AH$6:$AK$16,AI17)+COUNTIF($AH17:AH17,AI17)+1&lt;=$U$47,1,0)))</f>
        <v>0</v>
      </c>
      <c r="AT17" s="15" t="n">
        <f aca="false">IF(Y17=1,IF(ISNUMBER(G17),1,0),IF(AJ17="",0,IF(IF($U$37=1,COUNTIF($AH$6:$AK$25,"&gt;"&amp;AJ17),COUNTIF($AM$6:$AP$25,"&gt;"&amp;AJ17))+COUNTIF($AH$6:$AK$16,AJ17)+COUNTIF($AH17:AI17,AJ17)+1&lt;=$U$47,1,0)))</f>
        <v>0</v>
      </c>
      <c r="AU17" s="15" t="n">
        <f aca="false">IF(Y17=1,IF(ISNUMBER(H17),1,0),IF(AK17="",0,IF(IF($U$37=1,COUNTIF($AH$6:$AK$25,"&gt;"&amp;AK17),COUNTIF($AM$6:$AP$25,"&gt;"&amp;AK17))+COUNTIF($AH$6:$AK$16,AK17)+COUNTIF($AH17:AJ17,AK17)+1&lt;=$U$47,1,0)))</f>
        <v>0</v>
      </c>
      <c r="BZ17" s="15" t="n">
        <f aca="false">IFERROR(LARGE($AH$6:$AK$25,16),0)</f>
        <v>0</v>
      </c>
      <c r="CA17" s="15" t="n">
        <f aca="false">CA16+BZ17</f>
        <v>0</v>
      </c>
      <c r="CB17" s="15" t="n">
        <f aca="false">IFERROR(LARGE($AM$6:$AP$25,16),0)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196</v>
      </c>
      <c r="C18" s="37"/>
      <c r="D18" s="38"/>
      <c r="E18" s="24"/>
      <c r="F18" s="24"/>
      <c r="G18" s="24"/>
      <c r="H18" s="24"/>
      <c r="I18" s="39"/>
      <c r="J18" s="39"/>
      <c r="L18" s="40" t="s">
        <v>197</v>
      </c>
      <c r="M18" s="41" t="s">
        <v>149</v>
      </c>
      <c r="N18" s="6" t="s">
        <v>198</v>
      </c>
      <c r="T18" s="15" t="s">
        <v>199</v>
      </c>
      <c r="U18" s="15" t="n">
        <f aca="false">BP6+BP7+BP8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IF(Y18=1,IF(ISNUMBER(E18),1,0),IF(AH18="",0,IF(IF($U$37=1,COUNTIF($AH$6:$AK$25,"&gt;"&amp;AH18),COUNTIF($AM$6:$AP$25,"&gt;"&amp;AH18))+COUNTIF($AH$6:$AK$17,AH18)+1&lt;=$U$47,1,0)))</f>
        <v>0</v>
      </c>
      <c r="AS18" s="15" t="n">
        <f aca="false">IF(Y18=1,IF(ISNUMBER(F18),1,0),IF(AI18="",0,IF(IF($U$37=1,COUNTIF($AH$6:$AK$25,"&gt;"&amp;AI18),COUNTIF($AM$6:$AP$25,"&gt;"&amp;AI18))+COUNTIF($AH$6:$AK$17,AI18)+COUNTIF($AH18:AH18,AI18)+1&lt;=$U$47,1,0)))</f>
        <v>0</v>
      </c>
      <c r="AT18" s="15" t="n">
        <f aca="false">IF(Y18=1,IF(ISNUMBER(G18),1,0),IF(AJ18="",0,IF(IF($U$37=1,COUNTIF($AH$6:$AK$25,"&gt;"&amp;AJ18),COUNTIF($AM$6:$AP$25,"&gt;"&amp;AJ18))+COUNTIF($AH$6:$AK$17,AJ18)+COUNTIF($AH18:AI18,AJ18)+1&lt;=$U$47,1,0)))</f>
        <v>0</v>
      </c>
      <c r="AU18" s="15" t="n">
        <f aca="false">IF(Y18=1,IF(ISNUMBER(H18),1,0),IF(AK18="",0,IF(IF($U$37=1,COUNTIF($AH$6:$AK$25,"&gt;"&amp;AK18),COUNTIF($AM$6:$AP$25,"&gt;"&amp;AK18))+COUNTIF($AH$6:$AK$17,AK18)+COUNTIF($AH18:AJ18,AK18)+1&lt;=$U$47,1,0)))</f>
        <v>0</v>
      </c>
      <c r="BZ18" s="15" t="n">
        <f aca="false">IFERROR(LARGE($AH$6:$AK$25,17),0)</f>
        <v>0</v>
      </c>
      <c r="CA18" s="15" t="n">
        <f aca="false">CA17+BZ18</f>
        <v>0</v>
      </c>
      <c r="CB18" s="15" t="n">
        <f aca="false">IFERROR(LARGE($AM$6:$AP$25,17),0)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200</v>
      </c>
      <c r="C19" s="37"/>
      <c r="D19" s="38"/>
      <c r="E19" s="24"/>
      <c r="F19" s="24"/>
      <c r="G19" s="24"/>
      <c r="H19" s="24"/>
      <c r="I19" s="39"/>
      <c r="J19" s="39"/>
      <c r="L19" s="42" t="s">
        <v>201</v>
      </c>
      <c r="M19" s="43" t="str">
        <f aca="false">IF($U$4=0,"",IF($U$49=1,"✓ erfüllt","✗ nicht erfüllt"))</f>
        <v/>
      </c>
      <c r="N19" s="36" t="str">
        <f aca="false">IF($U$4=0,"",$U$38&amp;" Punkte")</f>
        <v/>
      </c>
      <c r="T19" s="15" t="s">
        <v>202</v>
      </c>
      <c r="U19" s="15" t="n">
        <f aca="false">BQ6+BQ7+BQ8+BQ9+BQ10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IF(Y19=1,IF(ISNUMBER(E19),1,0),IF(AH19="",0,IF(IF($U$37=1,COUNTIF($AH$6:$AK$25,"&gt;"&amp;AH19),COUNTIF($AM$6:$AP$25,"&gt;"&amp;AH19))+COUNTIF($AH$6:$AK$18,AH19)+1&lt;=$U$47,1,0)))</f>
        <v>0</v>
      </c>
      <c r="AS19" s="15" t="n">
        <f aca="false">IF(Y19=1,IF(ISNUMBER(F19),1,0),IF(AI19="",0,IF(IF($U$37=1,COUNTIF($AH$6:$AK$25,"&gt;"&amp;AI19),COUNTIF($AM$6:$AP$25,"&gt;"&amp;AI19))+COUNTIF($AH$6:$AK$18,AI19)+COUNTIF($AH19:AH19,AI19)+1&lt;=$U$47,1,0)))</f>
        <v>0</v>
      </c>
      <c r="AT19" s="15" t="n">
        <f aca="false">IF(Y19=1,IF(ISNUMBER(G19),1,0),IF(AJ19="",0,IF(IF($U$37=1,COUNTIF($AH$6:$AK$25,"&gt;"&amp;AJ19),COUNTIF($AM$6:$AP$25,"&gt;"&amp;AJ19))+COUNTIF($AH$6:$AK$18,AJ19)+COUNTIF($AH19:AI19,AJ19)+1&lt;=$U$47,1,0)))</f>
        <v>0</v>
      </c>
      <c r="AU19" s="15" t="n">
        <f aca="false">IF(Y19=1,IF(ISNUMBER(H19),1,0),IF(AK19="",0,IF(IF($U$37=1,COUNTIF($AH$6:$AK$25,"&gt;"&amp;AK19),COUNTIF($AM$6:$AP$25,"&gt;"&amp;AK19))+COUNTIF($AH$6:$AK$18,AK19)+COUNTIF($AH19:AJ19,AK19)+1&lt;=$U$47,1,0)))</f>
        <v>0</v>
      </c>
      <c r="BZ19" s="15" t="n">
        <f aca="false">IFERROR(LARGE($AH$6:$AK$25,18),0)</f>
        <v>0</v>
      </c>
      <c r="CA19" s="15" t="n">
        <f aca="false">CA18+BZ19</f>
        <v>0</v>
      </c>
      <c r="CB19" s="15" t="n">
        <f aca="false">IFERROR(LARGE($AM$6:$AP$25,18),0)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203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"&amp;$U$41&amp;" Unterkurse (unter 5 Punkten)"</f>
        <v>Höchstens 8 Unterkurse (unter 5 Punkten)</v>
      </c>
      <c r="M20" s="43" t="str">
        <f aca="false">IF($U$4=0,"",IF($U$50=1,"✓ erfüllt","✗ nicht erfüllt"))</f>
        <v/>
      </c>
      <c r="N20" s="36" t="str">
        <f aca="false">IF($U$4=0,"",$U$40&amp;" Unterkurse")</f>
        <v/>
      </c>
      <c r="T20" s="15" t="s">
        <v>204</v>
      </c>
      <c r="U20" s="15" t="n">
        <f aca="false">BR6+BR7+BR8+BR9+BR10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IF(Y20=1,IF(ISNUMBER(E20),1,0),IF(AH20="",0,IF(IF($U$37=1,COUNTIF($AH$6:$AK$25,"&gt;"&amp;AH20),COUNTIF($AM$6:$AP$25,"&gt;"&amp;AH20))+COUNTIF($AH$6:$AK$19,AH20)+1&lt;=$U$47,1,0)))</f>
        <v>0</v>
      </c>
      <c r="AS20" s="15" t="n">
        <f aca="false">IF(Y20=1,IF(ISNUMBER(F20),1,0),IF(AI20="",0,IF(IF($U$37=1,COUNTIF($AH$6:$AK$25,"&gt;"&amp;AI20),COUNTIF($AM$6:$AP$25,"&gt;"&amp;AI20))+COUNTIF($AH$6:$AK$19,AI20)+COUNTIF($AH20:AH20,AI20)+1&lt;=$U$47,1,0)))</f>
        <v>0</v>
      </c>
      <c r="AT20" s="15" t="n">
        <f aca="false">IF(Y20=1,IF(ISNUMBER(G20),1,0),IF(AJ20="",0,IF(IF($U$37=1,COUNTIF($AH$6:$AK$25,"&gt;"&amp;AJ20),COUNTIF($AM$6:$AP$25,"&gt;"&amp;AJ20))+COUNTIF($AH$6:$AK$19,AJ20)+COUNTIF($AH20:AI20,AJ20)+1&lt;=$U$47,1,0)))</f>
        <v>0</v>
      </c>
      <c r="AU20" s="15" t="n">
        <f aca="false">IF(Y20=1,IF(ISNUMBER(H20),1,0),IF(AK20="",0,IF(IF($U$37=1,COUNTIF($AH$6:$AK$25,"&gt;"&amp;AK20),COUNTIF($AM$6:$AP$25,"&gt;"&amp;AK20))+COUNTIF($AH$6:$AK$19,AK20)+COUNTIF($AH20:AJ20,AK20)+1&lt;=$U$47,1,0)))</f>
        <v>0</v>
      </c>
      <c r="BZ20" s="15" t="n">
        <f aca="false">IFERROR(LARGE($AH$6:$AK$25,19),0)</f>
        <v>0</v>
      </c>
      <c r="CA20" s="15" t="n">
        <f aca="false">CA19+BZ20</f>
        <v>0</v>
      </c>
      <c r="CB20" s="15" t="n">
        <f aca="false">IFERROR(LARGE($AM$6:$AP$25,19),0)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205</v>
      </c>
      <c r="C21" s="37"/>
      <c r="D21" s="38"/>
      <c r="E21" s="24"/>
      <c r="F21" s="24"/>
      <c r="G21" s="24"/>
      <c r="H21" s="24"/>
      <c r="I21" s="39"/>
      <c r="J21" s="39"/>
      <c r="L21" s="42" t="s">
        <v>206</v>
      </c>
      <c r="M21" s="43" t="str">
        <f aca="false">IF($U$4=0,"",IF($U$51=1,"✓ erfüllt","✗ nicht erfüllt"))</f>
        <v/>
      </c>
      <c r="N21" s="36" t="str">
        <f aca="false">IF($U$4=0,"",$U$60&amp;" Unterkurse")</f>
        <v/>
      </c>
      <c r="T21" s="15" t="s">
        <v>207</v>
      </c>
      <c r="U21" s="15" t="n">
        <f aca="false">MIN(300,INT((SUM(BU6,BU7,BU8,BU9,BU10))+0.5+0.000000001))</f>
        <v>140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IF(Y21=1,IF(ISNUMBER(E21),1,0),IF(AH21="",0,IF(IF($U$37=1,COUNTIF($AH$6:$AK$25,"&gt;"&amp;AH21),COUNTIF($AM$6:$AP$25,"&gt;"&amp;AH21))+COUNTIF($AH$6:$AK$20,AH21)+1&lt;=$U$47,1,0)))</f>
        <v>0</v>
      </c>
      <c r="AS21" s="15" t="n">
        <f aca="false">IF(Y21=1,IF(ISNUMBER(F21),1,0),IF(AI21="",0,IF(IF($U$37=1,COUNTIF($AH$6:$AK$25,"&gt;"&amp;AI21),COUNTIF($AM$6:$AP$25,"&gt;"&amp;AI21))+COUNTIF($AH$6:$AK$20,AI21)+COUNTIF($AH21:AH21,AI21)+1&lt;=$U$47,1,0)))</f>
        <v>0</v>
      </c>
      <c r="AT21" s="15" t="n">
        <f aca="false">IF(Y21=1,IF(ISNUMBER(G21),1,0),IF(AJ21="",0,IF(IF($U$37=1,COUNTIF($AH$6:$AK$25,"&gt;"&amp;AJ21),COUNTIF($AM$6:$AP$25,"&gt;"&amp;AJ21))+COUNTIF($AH$6:$AK$20,AJ21)+COUNTIF($AH21:AI21,AJ21)+1&lt;=$U$47,1,0)))</f>
        <v>0</v>
      </c>
      <c r="AU21" s="15" t="n">
        <f aca="false">IF(Y21=1,IF(ISNUMBER(H21),1,0),IF(AK21="",0,IF(IF($U$37=1,COUNTIF($AH$6:$AK$25,"&gt;"&amp;AK21),COUNTIF($AM$6:$AP$25,"&gt;"&amp;AK21))+COUNTIF($AH$6:$AK$20,AK21)+COUNTIF($AH21:AJ21,AK21)+1&lt;=$U$47,1,0)))</f>
        <v>0</v>
      </c>
      <c r="BZ21" s="15" t="n">
        <f aca="false">IFERROR(LARGE($AH$6:$AK$25,20),0)</f>
        <v>0</v>
      </c>
      <c r="CA21" s="15" t="n">
        <f aca="false">CA20+BZ21</f>
        <v>0</v>
      </c>
      <c r="CB21" s="15" t="n">
        <f aca="false">IFERROR(LARGE($AM$6:$AP$25,20),0)</f>
        <v>0</v>
      </c>
      <c r="CC21" s="15" t="n">
        <f aca="false">CC20+CB21</f>
        <v>0</v>
      </c>
    </row>
    <row r="22" customFormat="false" ht="15" hidden="false" customHeight="false" outlineLevel="0" collapsed="false">
      <c r="B22" s="36" t="s">
        <v>208</v>
      </c>
      <c r="C22" s="37"/>
      <c r="D22" s="38"/>
      <c r="E22" s="24"/>
      <c r="F22" s="24"/>
      <c r="G22" s="24"/>
      <c r="H22" s="24"/>
      <c r="I22" s="39"/>
      <c r="J22" s="39"/>
      <c r="L22" s="42" t="s">
        <v>209</v>
      </c>
      <c r="M22" s="43" t="str">
        <f aca="false">IF($U$4=0,"",IF($U$55=1,"✓ erfüllt","✗ nicht erfüllt"))</f>
        <v/>
      </c>
      <c r="N22" s="36" t="str">
        <f aca="false">IF($U$4=0,"",$U$12&amp;" mit 0 Punkten")</f>
        <v/>
      </c>
      <c r="T22" s="15" t="s">
        <v>210</v>
      </c>
      <c r="U22" s="15" t="n">
        <f aca="false">SUM(BV6,BV7,BV8,BV9,BV10)</f>
        <v>5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IF(Y22=1,IF(ISNUMBER(E22),1,0),IF(AH22="",0,IF(IF($U$37=1,COUNTIF($AH$6:$AK$25,"&gt;"&amp;AH22),COUNTIF($AM$6:$AP$25,"&gt;"&amp;AH22))+COUNTIF($AH$6:$AK$21,AH22)+1&lt;=$U$47,1,0)))</f>
        <v>0</v>
      </c>
      <c r="AS22" s="15" t="n">
        <f aca="false">IF(Y22=1,IF(ISNUMBER(F22),1,0),IF(AI22="",0,IF(IF($U$37=1,COUNTIF($AH$6:$AK$25,"&gt;"&amp;AI22),COUNTIF($AM$6:$AP$25,"&gt;"&amp;AI22))+COUNTIF($AH$6:$AK$21,AI22)+COUNTIF($AH22:AH22,AI22)+1&lt;=$U$47,1,0)))</f>
        <v>0</v>
      </c>
      <c r="AT22" s="15" t="n">
        <f aca="false">IF(Y22=1,IF(ISNUMBER(G22),1,0),IF(AJ22="",0,IF(IF($U$37=1,COUNTIF($AH$6:$AK$25,"&gt;"&amp;AJ22),COUNTIF($AM$6:$AP$25,"&gt;"&amp;AJ22))+COUNTIF($AH$6:$AK$21,AJ22)+COUNTIF($AH22:AI22,AJ22)+1&lt;=$U$47,1,0)))</f>
        <v>0</v>
      </c>
      <c r="AU22" s="15" t="n">
        <f aca="false">IF(Y22=1,IF(ISNUMBER(H22),1,0),IF(AK22="",0,IF(IF($U$37=1,COUNTIF($AH$6:$AK$25,"&gt;"&amp;AK22),COUNTIF($AM$6:$AP$25,"&gt;"&amp;AK22))+COUNTIF($AH$6:$AK$21,AK22)+COUNTIF($AH22:AJ22,AK22)+1&lt;=$U$47,1,0)))</f>
        <v>0</v>
      </c>
      <c r="BZ22" s="15" t="n">
        <f aca="false">IFERROR(LARGE($AH$6:$AK$25,21),0)</f>
        <v>0</v>
      </c>
      <c r="CA22" s="15" t="n">
        <f aca="false">CA21+BZ22</f>
        <v>0</v>
      </c>
      <c r="CB22" s="15" t="n">
        <f aca="false">IFERROR(LARGE($AM$6:$AP$25,21),0)</f>
        <v>0</v>
      </c>
      <c r="CC22" s="15" t="n">
        <f aca="false">CC21+CB22</f>
        <v>0</v>
      </c>
      <c r="CE22" s="15" t="s">
        <v>79</v>
      </c>
      <c r="CF22" s="15" t="s">
        <v>80</v>
      </c>
      <c r="CG22" s="15" t="s">
        <v>81</v>
      </c>
      <c r="CH22" s="15" t="s">
        <v>82</v>
      </c>
      <c r="CI22" s="15" t="s">
        <v>83</v>
      </c>
      <c r="CJ22" s="15" t="s">
        <v>84</v>
      </c>
      <c r="CK22" s="15" t="s">
        <v>85</v>
      </c>
      <c r="CL22" s="15" t="s">
        <v>86</v>
      </c>
      <c r="CM22" s="15" t="s">
        <v>87</v>
      </c>
      <c r="CN22" s="15" t="s">
        <v>88</v>
      </c>
      <c r="CO22" s="15" t="s">
        <v>89</v>
      </c>
      <c r="CP22" s="15" t="s">
        <v>90</v>
      </c>
      <c r="CQ22" s="15" t="s">
        <v>91</v>
      </c>
      <c r="CR22" s="15" t="s">
        <v>92</v>
      </c>
      <c r="CS22" s="15" t="s">
        <v>93</v>
      </c>
      <c r="CT22" s="15" t="s">
        <v>94</v>
      </c>
      <c r="CU22" s="15" t="s">
        <v>95</v>
      </c>
      <c r="CV22" s="15" t="s">
        <v>96</v>
      </c>
      <c r="CW22" s="15" t="s">
        <v>97</v>
      </c>
      <c r="CX22" s="15" t="s">
        <v>98</v>
      </c>
      <c r="CY22" s="15" t="s">
        <v>99</v>
      </c>
      <c r="CZ22" s="15" t="s">
        <v>100</v>
      </c>
      <c r="DA22" s="15" t="s">
        <v>101</v>
      </c>
      <c r="DB22" s="15" t="s">
        <v>102</v>
      </c>
      <c r="DC22" s="15" t="s">
        <v>103</v>
      </c>
      <c r="DD22" s="15" t="s">
        <v>104</v>
      </c>
      <c r="DE22" s="15" t="s">
        <v>105</v>
      </c>
      <c r="DF22" s="15" t="s">
        <v>106</v>
      </c>
      <c r="DG22" s="15" t="s">
        <v>107</v>
      </c>
      <c r="DH22" s="15" t="s">
        <v>108</v>
      </c>
    </row>
    <row r="23" customFormat="false" ht="22.35" hidden="false" customHeight="false" outlineLevel="0" collapsed="false">
      <c r="B23" s="36" t="s">
        <v>211</v>
      </c>
      <c r="C23" s="37"/>
      <c r="D23" s="38"/>
      <c r="E23" s="24"/>
      <c r="F23" s="24"/>
      <c r="G23" s="24"/>
      <c r="H23" s="24"/>
      <c r="I23" s="39"/>
      <c r="J23" s="39"/>
      <c r="L23" s="42" t="s">
        <v>212</v>
      </c>
      <c r="M23" s="43" t="str">
        <f aca="false">IF($U$4=0,"",IF($U$58=1,"✓ erfüllt","✗ nicht erfüllt"))</f>
        <v/>
      </c>
      <c r="N23" s="36"/>
      <c r="T23" s="15" t="s">
        <v>213</v>
      </c>
      <c r="U23" s="15" t="n">
        <f aca="false">BV6+BV7+BV8</f>
        <v>3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IF(Y23=1,IF(ISNUMBER(E23),1,0),IF(AH23="",0,IF(IF($U$37=1,COUNTIF($AH$6:$AK$25,"&gt;"&amp;AH23),COUNTIF($AM$6:$AP$25,"&gt;"&amp;AH23))+COUNTIF($AH$6:$AK$22,AH23)+1&lt;=$U$47,1,0)))</f>
        <v>0</v>
      </c>
      <c r="AS23" s="15" t="n">
        <f aca="false">IF(Y23=1,IF(ISNUMBER(F23),1,0),IF(AI23="",0,IF(IF($U$37=1,COUNTIF($AH$6:$AK$25,"&gt;"&amp;AI23),COUNTIF($AM$6:$AP$25,"&gt;"&amp;AI23))+COUNTIF($AH$6:$AK$22,AI23)+COUNTIF($AH23:AH23,AI23)+1&lt;=$U$47,1,0)))</f>
        <v>0</v>
      </c>
      <c r="AT23" s="15" t="n">
        <f aca="false">IF(Y23=1,IF(ISNUMBER(G23),1,0),IF(AJ23="",0,IF(IF($U$37=1,COUNTIF($AH$6:$AK$25,"&gt;"&amp;AJ23),COUNTIF($AM$6:$AP$25,"&gt;"&amp;AJ23))+COUNTIF($AH$6:$AK$22,AJ23)+COUNTIF($AH23:AI23,AJ23)+1&lt;=$U$47,1,0)))</f>
        <v>0</v>
      </c>
      <c r="AU23" s="15" t="n">
        <f aca="false">IF(Y23=1,IF(ISNUMBER(H23),1,0),IF(AK23="",0,IF(IF($U$37=1,COUNTIF($AH$6:$AK$25,"&gt;"&amp;AK23),COUNTIF($AM$6:$AP$25,"&gt;"&amp;AK23))+COUNTIF($AH$6:$AK$22,AK23)+COUNTIF($AH23:AJ23,AK23)+1&lt;=$U$47,1,0)))</f>
        <v>0</v>
      </c>
      <c r="BZ23" s="15" t="n">
        <f aca="false">IFERROR(LARGE($AH$6:$AK$25,22),0)</f>
        <v>0</v>
      </c>
      <c r="CA23" s="15" t="n">
        <f aca="false">CA22+BZ23</f>
        <v>0</v>
      </c>
      <c r="CB23" s="15" t="n">
        <f aca="false">IFERROR(LARGE($AM$6:$AP$25,22),0)</f>
        <v>0</v>
      </c>
      <c r="CC23" s="15" t="n">
        <f aca="false">CC22+CB23</f>
        <v>0</v>
      </c>
      <c r="CE23" s="15" t="n">
        <f aca="false">40</f>
        <v>40</v>
      </c>
      <c r="CF23" s="15" t="n">
        <f aca="false">CE23-$V$5-$V$6-0</f>
        <v>20</v>
      </c>
      <c r="CG23" s="15" t="n">
        <f aca="false">MAX(0,CF23)</f>
        <v>20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20</v>
      </c>
      <c r="CK23" s="15" t="n">
        <f aca="false">$V$5+CH23+CJ23</f>
        <v>40</v>
      </c>
      <c r="CL23" s="15" t="n">
        <f aca="false">2*BE6+2*BF6+2*BE7+2*BF7+1*BE8+1*BF8</f>
        <v>140</v>
      </c>
      <c r="CM23" s="15" t="n">
        <f aca="false">2*BG6+2*BH6+2*BG7+2*BH7+1*BG8+1*BH8+1*BG9+1*BH9+1*BG10+1*BH10+SUM($AE$12:$AE$25)</f>
        <v>28</v>
      </c>
      <c r="CN23" s="15" t="n">
        <f aca="false">IF(CH23=0,0,INDEX($CC$2:$CC$57,CH23))</f>
        <v>0</v>
      </c>
      <c r="CO23" s="15" t="n">
        <f aca="false">CL23+$V$11+CN23+CJ23*$U$2</f>
        <v>336</v>
      </c>
      <c r="CP23" s="15" t="n">
        <f aca="false">CM23+CH23+CJ23</f>
        <v>48</v>
      </c>
      <c r="CQ23" s="15" t="n">
        <f aca="false">IF(CP23&gt;0,MIN(600,INT((CO23/CP23*40)+0.5+0.000000001)),0)</f>
        <v>280</v>
      </c>
      <c r="CR23" s="15" t="n">
        <f aca="false">$V$9+CT23</f>
        <v>0</v>
      </c>
      <c r="CS23" s="15" t="n">
        <f aca="false">8</f>
        <v>8</v>
      </c>
      <c r="CT23" s="15" t="n">
        <f aca="false">$V$10+MAX(0,CH23-$V$8)+CJ23*IF($U$2&lt;5,1,0)</f>
        <v>0</v>
      </c>
      <c r="CU23" s="15" t="n">
        <f aca="false">$V$11+CN23+CJ23*$U$2</f>
        <v>196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IF($V$9&lt;=3,1,0)</f>
        <v>1</v>
      </c>
      <c r="CY23" s="15" t="n">
        <f aca="false">1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1028060</v>
      </c>
    </row>
    <row r="24" customFormat="false" ht="15" hidden="false" customHeight="false" outlineLevel="0" collapsed="false">
      <c r="B24" s="36" t="s">
        <v>214</v>
      </c>
      <c r="C24" s="37"/>
      <c r="D24" s="38"/>
      <c r="E24" s="24"/>
      <c r="F24" s="24"/>
      <c r="G24" s="24"/>
      <c r="H24" s="24"/>
      <c r="I24" s="39"/>
      <c r="J24" s="39"/>
      <c r="L24" s="42" t="s">
        <v>215</v>
      </c>
      <c r="M24" s="43" t="str">
        <f aca="false">IF($U$4=0,"",IF($U$63=1,"✓ erfüllt","✗ nicht erfüllt"))</f>
        <v/>
      </c>
      <c r="N24" s="36" t="str">
        <f aca="false">IF($U$4=0,"",$U$61&amp;" Punkte")</f>
        <v/>
      </c>
      <c r="T24" s="15" t="s">
        <v>216</v>
      </c>
      <c r="U24" s="15" t="n">
        <f aca="false">BW6+BW7+BW8+BW9+BW10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IF(Y24=1,IF(ISNUMBER(E24),1,0),IF(AH24="",0,IF(IF($U$37=1,COUNTIF($AH$6:$AK$25,"&gt;"&amp;AH24),COUNTIF($AM$6:$AP$25,"&gt;"&amp;AH24))+COUNTIF($AH$6:$AK$23,AH24)+1&lt;=$U$47,1,0)))</f>
        <v>0</v>
      </c>
      <c r="AS24" s="15" t="n">
        <f aca="false">IF(Y24=1,IF(ISNUMBER(F24),1,0),IF(AI24="",0,IF(IF($U$37=1,COUNTIF($AH$6:$AK$25,"&gt;"&amp;AI24),COUNTIF($AM$6:$AP$25,"&gt;"&amp;AI24))+COUNTIF($AH$6:$AK$23,AI24)+COUNTIF($AH24:AH24,AI24)+1&lt;=$U$47,1,0)))</f>
        <v>0</v>
      </c>
      <c r="AT24" s="15" t="n">
        <f aca="false">IF(Y24=1,IF(ISNUMBER(G24),1,0),IF(AJ24="",0,IF(IF($U$37=1,COUNTIF($AH$6:$AK$25,"&gt;"&amp;AJ24),COUNTIF($AM$6:$AP$25,"&gt;"&amp;AJ24))+COUNTIF($AH$6:$AK$23,AJ24)+COUNTIF($AH24:AI24,AJ24)+1&lt;=$U$47,1,0)))</f>
        <v>0</v>
      </c>
      <c r="AU24" s="15" t="n">
        <f aca="false">IF(Y24=1,IF(ISNUMBER(H24),1,0),IF(AK24="",0,IF(IF($U$37=1,COUNTIF($AH$6:$AK$25,"&gt;"&amp;AK24),COUNTIF($AM$6:$AP$25,"&gt;"&amp;AK24))+COUNTIF($AH$6:$AK$23,AK24)+COUNTIF($AH24:AJ24,AK24)+1&lt;=$U$47,1,0)))</f>
        <v>0</v>
      </c>
      <c r="BZ24" s="15" t="n">
        <f aca="false">IFERROR(LARGE($AH$6:$AK$25,23),0)</f>
        <v>0</v>
      </c>
      <c r="CA24" s="15" t="n">
        <f aca="false">CA23+BZ24</f>
        <v>0</v>
      </c>
      <c r="CB24" s="15" t="n">
        <f aca="false">IFERROR(LARGE($AM$6:$AP$25,23),0)</f>
        <v>0</v>
      </c>
      <c r="CC24" s="15" t="n">
        <f aca="false">CC23+CB24</f>
        <v>0</v>
      </c>
      <c r="CE24" s="15" t="n">
        <f aca="false">40</f>
        <v>40</v>
      </c>
      <c r="CF24" s="15" t="n">
        <f aca="false">CE24-$V$5-$V$6-0</f>
        <v>20</v>
      </c>
      <c r="CG24" s="15" t="n">
        <f aca="false">MAX(0,CF24)</f>
        <v>20</v>
      </c>
      <c r="CH24" s="15" t="n">
        <f aca="false">MIN(CG24,$V$7)</f>
        <v>0</v>
      </c>
      <c r="CI24" s="15" t="n">
        <f aca="false">0</f>
        <v>0</v>
      </c>
      <c r="CJ24" s="15" t="n">
        <f aca="false">CG24-CH24</f>
        <v>20</v>
      </c>
      <c r="CK24" s="15" t="n">
        <f aca="false">$V$5+CH24+CJ24</f>
        <v>40</v>
      </c>
      <c r="CL24" s="15" t="n">
        <f aca="false">2*BE6+2*BF6+1*BE7+1*BF7+2*BE8+2*BF8</f>
        <v>140</v>
      </c>
      <c r="CM24" s="15" t="n">
        <f aca="false">2*BG6+2*BH6+1*BG7+1*BH7+2*BG8+2*BH8+1*BG9+1*BH9+1*BG10+1*BH10+SUM($AE$12:$AE$25)</f>
        <v>28</v>
      </c>
      <c r="CN24" s="15" t="n">
        <f aca="false">IF(CH24=0,0,INDEX($CC$2:$CC$57,CH24))</f>
        <v>0</v>
      </c>
      <c r="CO24" s="15" t="n">
        <f aca="false">CL24+$V$11+CN24+CJ24*$U$2</f>
        <v>336</v>
      </c>
      <c r="CP24" s="15" t="n">
        <f aca="false">CM24+CH24+CJ24</f>
        <v>48</v>
      </c>
      <c r="CQ24" s="15" t="n">
        <f aca="false">IF(CP24&gt;0,MIN(600,INT((CO24/CP24*40)+0.5+0.000000001)),0)</f>
        <v>280</v>
      </c>
      <c r="CR24" s="15" t="n">
        <f aca="false">$V$9+CT24</f>
        <v>0</v>
      </c>
      <c r="CS24" s="15" t="n">
        <f aca="false">8</f>
        <v>8</v>
      </c>
      <c r="CT24" s="15" t="n">
        <f aca="false">$V$10+MAX(0,CH24-$V$8)+CJ24*IF($U$2&lt;5,1,0)</f>
        <v>0</v>
      </c>
      <c r="CU24" s="15" t="n">
        <f aca="false">$V$11+CN24+CJ24*$U$2</f>
        <v>196</v>
      </c>
      <c r="CV24" s="15" t="n">
        <f aca="false">IF(CQ24&gt;=200,1,0)</f>
        <v>1</v>
      </c>
      <c r="CW24" s="15" t="n">
        <f aca="false">IF(CR24&lt;=CS24,1,0)</f>
        <v>1</v>
      </c>
      <c r="CX24" s="15" t="n">
        <f aca="false">IF($V$9&lt;=3,1,0)</f>
        <v>1</v>
      </c>
      <c r="CY24" s="15" t="n">
        <f aca="false">1</f>
        <v>1</v>
      </c>
      <c r="CZ24" s="15" t="n">
        <f aca="false">1</f>
        <v>1</v>
      </c>
      <c r="DA24" s="15" t="n">
        <f aca="false">1</f>
        <v>1</v>
      </c>
      <c r="DB24" s="15" t="n">
        <f aca="false">IF($U$12=0,1,0)</f>
        <v>1</v>
      </c>
      <c r="DC24" s="15" t="n">
        <f aca="false">1</f>
        <v>1</v>
      </c>
      <c r="DD24" s="15" t="n">
        <f aca="false">1</f>
        <v>1</v>
      </c>
      <c r="DE24" s="15" t="n">
        <f aca="false">IF(CF24&lt;0,0,1)</f>
        <v>1</v>
      </c>
      <c r="DF24" s="15" t="n">
        <f aca="false">IF(CV24*CW24*CX24*CY24*CZ24*DA24*DB24*DC24*DD24*DE24=1,1,0)</f>
        <v>1</v>
      </c>
      <c r="DG24" s="15" t="n">
        <f aca="false">$V$6+CI24</f>
        <v>0</v>
      </c>
      <c r="DH24" s="15" t="n">
        <f aca="false">DF24*1000000+CQ24*100+(100-CK24)</f>
        <v>1028060</v>
      </c>
    </row>
    <row r="25" customFormat="false" ht="22.35" hidden="false" customHeight="false" outlineLevel="0" collapsed="false">
      <c r="B25" s="36" t="s">
        <v>217</v>
      </c>
      <c r="C25" s="37"/>
      <c r="D25" s="38"/>
      <c r="E25" s="24"/>
      <c r="F25" s="24"/>
      <c r="G25" s="24"/>
      <c r="H25" s="24"/>
      <c r="I25" s="39"/>
      <c r="J25" s="39"/>
      <c r="L25" s="42" t="str">
        <f aca="false">"In mindestens "&amp;$U$26&amp;" Prüfungen mindestens 5 Punkte (einfach), davon 2 im 1./2./3. Prüfungsfach"</f>
        <v>In mindestens 3 Prüfungen mindestens 5 Punkte (einfach), davon 2 im 1./2./3. Prüfungsfach</v>
      </c>
      <c r="M25" s="43" t="str">
        <f aca="false">IF($U$4=0,"",IF($U$64=1,"✓ erfüllt","✗ nicht erfüllt"))</f>
        <v/>
      </c>
      <c r="N25" s="36" t="str">
        <f aca="false">IF($U$4=0,"",$U$62&amp;" Prüfungen")</f>
        <v/>
      </c>
      <c r="T25" s="15" t="s">
        <v>218</v>
      </c>
      <c r="U25" s="15" t="n">
        <f aca="false">BX6+BX7+BX8+BX9+BX10</f>
        <v>0</v>
      </c>
      <c r="X25" s="15" t="n">
        <f aca="false">IF(OR(LEN(TRIM(C25))&gt;0,COUNT(E25:H25)&gt;0),1,0)</f>
        <v>0</v>
      </c>
      <c r="Y25" s="15" t="n">
        <f aca="false">IF(LEN(TRIM(D25))&gt;0,1,0)</f>
        <v>0</v>
      </c>
      <c r="Z25" s="15" t="n">
        <f aca="false">Y25*SUM(E25:H25)</f>
        <v>0</v>
      </c>
      <c r="AA25" s="15" t="n">
        <f aca="false">Y25*COUNT(E25:H25)</f>
        <v>0</v>
      </c>
      <c r="AB25" s="15" t="n">
        <f aca="false">Y25*COUNTIF(E25:H25,"&lt;5")</f>
        <v>0</v>
      </c>
      <c r="AC25" s="15" t="n">
        <f aca="false">Y25*COUNTIF(E25:H25,0)</f>
        <v>0</v>
      </c>
      <c r="AD25" s="15" t="n">
        <f aca="false">Y25*(SUM(E25:H25)+X25*$U$2*(4-COUNT(E25:H25)))</f>
        <v>0</v>
      </c>
      <c r="AE25" s="15" t="n">
        <f aca="false">Y25*(COUNT(E25:H25)+X25*(4-COUNT(E25:H25)))</f>
        <v>0</v>
      </c>
      <c r="AF25" s="15" t="n">
        <f aca="false">Y25*(COUNTIF(E25:H25,"&lt;5")+X25*IF($U$2&lt;5,1,0)*(4-COUNT(E25:H25)))</f>
        <v>0</v>
      </c>
      <c r="AH25" s="15" t="str">
        <f aca="false">IF(Y25=1,"",IF(ISNUMBER(E25),IF(E25=0,"",E25),""))</f>
        <v/>
      </c>
      <c r="AI25" s="15" t="str">
        <f aca="false">IF(Y25=1,"",IF(ISNUMBER(F25),IF(F25=0,"",F25),""))</f>
        <v/>
      </c>
      <c r="AJ25" s="15" t="str">
        <f aca="false">IF(Y25=1,"",IF(ISNUMBER(G25),IF(G25=0,"",G25),""))</f>
        <v/>
      </c>
      <c r="AK25" s="15" t="str">
        <f aca="false">IF(Y25=1,"",IF(ISNUMBER(H25),IF(H25=0,"",H25),""))</f>
        <v/>
      </c>
      <c r="AM25" s="15" t="str">
        <f aca="false">IF(Y25=1,"",IF(ISNUMBER(E25),IF(E25=0,"",E25),IF(X25=1,$U$2,"")))</f>
        <v/>
      </c>
      <c r="AN25" s="15" t="str">
        <f aca="false">IF(Y25=1,"",IF(ISNUMBER(F25),IF(F25=0,"",F25),IF(X25=1,$U$2,"")))</f>
        <v/>
      </c>
      <c r="AO25" s="15" t="str">
        <f aca="false">IF(Y25=1,"",IF(ISNUMBER(G25),IF(G25=0,"",G25),IF(X25=1,$U$2,"")))</f>
        <v/>
      </c>
      <c r="AP25" s="15" t="str">
        <f aca="false">IF(Y25=1,"",IF(ISNUMBER(H25),IF(H25=0,"",H25),IF(X25=1,$U$2,"")))</f>
        <v/>
      </c>
      <c r="AR25" s="15" t="n">
        <f aca="false">IF(Y25=1,IF(ISNUMBER(E25),1,0),IF(AH25="",0,IF(IF($U$37=1,COUNTIF($AH$6:$AK$25,"&gt;"&amp;AH25),COUNTIF($AM$6:$AP$25,"&gt;"&amp;AH25))+COUNTIF($AH$6:$AK$24,AH25)+1&lt;=$U$47,1,0)))</f>
        <v>0</v>
      </c>
      <c r="AS25" s="15" t="n">
        <f aca="false">IF(Y25=1,IF(ISNUMBER(F25),1,0),IF(AI25="",0,IF(IF($U$37=1,COUNTIF($AH$6:$AK$25,"&gt;"&amp;AI25),COUNTIF($AM$6:$AP$25,"&gt;"&amp;AI25))+COUNTIF($AH$6:$AK$24,AI25)+COUNTIF($AH25:AH25,AI25)+1&lt;=$U$47,1,0)))</f>
        <v>0</v>
      </c>
      <c r="AT25" s="15" t="n">
        <f aca="false">IF(Y25=1,IF(ISNUMBER(G25),1,0),IF(AJ25="",0,IF(IF($U$37=1,COUNTIF($AH$6:$AK$25,"&gt;"&amp;AJ25),COUNTIF($AM$6:$AP$25,"&gt;"&amp;AJ25))+COUNTIF($AH$6:$AK$24,AJ25)+COUNTIF($AH25:AI25,AJ25)+1&lt;=$U$47,1,0)))</f>
        <v>0</v>
      </c>
      <c r="AU25" s="15" t="n">
        <f aca="false">IF(Y25=1,IF(ISNUMBER(H25),1,0),IF(AK25="",0,IF(IF($U$37=1,COUNTIF($AH$6:$AK$25,"&gt;"&amp;AK25),COUNTIF($AM$6:$AP$25,"&gt;"&amp;AK25))+COUNTIF($AH$6:$AK$24,AK25)+COUNTIF($AH25:AJ25,AK25)+1&lt;=$U$47,1,0)))</f>
        <v>0</v>
      </c>
      <c r="BZ25" s="15" t="n">
        <f aca="false">IFERROR(LARGE($AH$6:$AK$25,24),0)</f>
        <v>0</v>
      </c>
      <c r="CA25" s="15" t="n">
        <f aca="false">CA24+BZ25</f>
        <v>0</v>
      </c>
      <c r="CB25" s="15" t="n">
        <f aca="false">IFERROR(LARGE($AM$6:$AP$25,24),0)</f>
        <v>0</v>
      </c>
      <c r="CC25" s="15" t="n">
        <f aca="false">CC24+CB25</f>
        <v>0</v>
      </c>
      <c r="CE25" s="15" t="n">
        <f aca="false">40</f>
        <v>40</v>
      </c>
      <c r="CF25" s="15" t="n">
        <f aca="false">CE25-$V$5-$V$6-0</f>
        <v>20</v>
      </c>
      <c r="CG25" s="15" t="n">
        <f aca="false">MAX(0,CF25)</f>
        <v>20</v>
      </c>
      <c r="CH25" s="15" t="n">
        <f aca="false">MIN(CG25,$V$7)</f>
        <v>0</v>
      </c>
      <c r="CI25" s="15" t="n">
        <f aca="false">0</f>
        <v>0</v>
      </c>
      <c r="CJ25" s="15" t="n">
        <f aca="false">CG25-CH25</f>
        <v>20</v>
      </c>
      <c r="CK25" s="15" t="n">
        <f aca="false">$V$5+CH25+CJ25</f>
        <v>40</v>
      </c>
      <c r="CL25" s="15" t="n">
        <f aca="false">1*BE6+1*BF6+2*BE7+2*BF7+2*BE8+2*BF8</f>
        <v>140</v>
      </c>
      <c r="CM25" s="15" t="n">
        <f aca="false">1*BG6+1*BH6+2*BG7+2*BH7+2*BG8+2*BH8+1*BG9+1*BH9+1*BG10+1*BH10+SUM($AE$12:$AE$25)</f>
        <v>28</v>
      </c>
      <c r="CN25" s="15" t="n">
        <f aca="false">IF(CH25=0,0,INDEX($CC$2:$CC$57,CH25))</f>
        <v>0</v>
      </c>
      <c r="CO25" s="15" t="n">
        <f aca="false">CL25+$V$11+CN25+CJ25*$U$2</f>
        <v>336</v>
      </c>
      <c r="CP25" s="15" t="n">
        <f aca="false">CM25+CH25+CJ25</f>
        <v>48</v>
      </c>
      <c r="CQ25" s="15" t="n">
        <f aca="false">IF(CP25&gt;0,MIN(600,INT((CO25/CP25*40)+0.5+0.000000001)),0)</f>
        <v>280</v>
      </c>
      <c r="CR25" s="15" t="n">
        <f aca="false">$V$9+CT25</f>
        <v>0</v>
      </c>
      <c r="CS25" s="15" t="n">
        <f aca="false">8</f>
        <v>8</v>
      </c>
      <c r="CT25" s="15" t="n">
        <f aca="false">$V$10+MAX(0,CH25-$V$8)+CJ25*IF($U$2&lt;5,1,0)</f>
        <v>0</v>
      </c>
      <c r="CU25" s="15" t="n">
        <f aca="false">$V$11+CN25+CJ25*$U$2</f>
        <v>196</v>
      </c>
      <c r="CV25" s="15" t="n">
        <f aca="false">IF(CQ25&gt;=200,1,0)</f>
        <v>1</v>
      </c>
      <c r="CW25" s="15" t="n">
        <f aca="false">IF(CR25&lt;=CS25,1,0)</f>
        <v>1</v>
      </c>
      <c r="CX25" s="15" t="n">
        <f aca="false">IF($V$9&lt;=3,1,0)</f>
        <v>1</v>
      </c>
      <c r="CY25" s="15" t="n">
        <f aca="false">1</f>
        <v>1</v>
      </c>
      <c r="CZ25" s="15" t="n">
        <f aca="false">1</f>
        <v>1</v>
      </c>
      <c r="DA25" s="15" t="n">
        <f aca="false">1</f>
        <v>1</v>
      </c>
      <c r="DB25" s="15" t="n">
        <f aca="false">IF($U$12=0,1,0)</f>
        <v>1</v>
      </c>
      <c r="DC25" s="15" t="n">
        <f aca="false">1</f>
        <v>1</v>
      </c>
      <c r="DD25" s="15" t="n">
        <f aca="false">1</f>
        <v>1</v>
      </c>
      <c r="DE25" s="15" t="n">
        <f aca="false">IF(CF25&lt;0,0,1)</f>
        <v>1</v>
      </c>
      <c r="DF25" s="15" t="n">
        <f aca="false">IF(CV25*CW25*CX25*CY25*CZ25*DA25*DB25*DC25*DD25*DE25=1,1,0)</f>
        <v>1</v>
      </c>
      <c r="DG25" s="15" t="n">
        <f aca="false">$V$6+CI25</f>
        <v>0</v>
      </c>
      <c r="DH25" s="15" t="n">
        <f aca="false">DF25*1000000+CQ25*100+(100-CK25)</f>
        <v>1028060</v>
      </c>
    </row>
    <row r="26" customFormat="false" ht="15" hidden="false" customHeight="false" outlineLevel="0" collapsed="false">
      <c r="L26" s="42" t="s">
        <v>219</v>
      </c>
      <c r="M26" s="43" t="str">
        <f aca="false">IF($U$4=0,"",IF($U$65=1,"✓ erfüllt","✗ nicht erfüllt"))</f>
        <v/>
      </c>
      <c r="N26" s="36"/>
      <c r="T26" s="15" t="s">
        <v>220</v>
      </c>
      <c r="U26" s="15" t="n">
        <f aca="false">3</f>
        <v>3</v>
      </c>
      <c r="BZ26" s="15" t="n">
        <f aca="false">IFERROR(LARGE($AH$6:$AK$25,25),0)</f>
        <v>0</v>
      </c>
      <c r="CA26" s="15" t="n">
        <f aca="false">CA25+BZ26</f>
        <v>0</v>
      </c>
      <c r="CB26" s="15" t="n">
        <f aca="false">IFERROR(LARGE($AM$6:$AP$25,25),0)</f>
        <v>0</v>
      </c>
      <c r="CC26" s="15" t="n">
        <f aca="false">CC25+CB26</f>
        <v>0</v>
      </c>
    </row>
    <row r="27" customFormat="false" ht="15" hidden="false" customHeight="false" outlineLevel="0" collapsed="false">
      <c r="L27" s="42" t="s">
        <v>221</v>
      </c>
      <c r="M27" s="43" t="str">
        <f aca="false">IF($U$4=0,"",IF($U$68=1,"✓ erfüllt","✗ nicht erfüllt"))</f>
        <v/>
      </c>
      <c r="N27" s="36" t="str">
        <f aca="false">IF($U$4=0,"",$U$67&amp;" Punkte")</f>
        <v/>
      </c>
      <c r="T27" s="15" t="s">
        <v>222</v>
      </c>
      <c r="U27" s="15" t="n">
        <f aca="false">IF(ISNUMBER($I$6),0,1)+IF(ISNUMBER($I$7),0,1)+IF(ISNUMBER($I$8),0,1)+IF(ISNUMBER($I$9),0,1)+IF(ISNUMBER($I$10),0,1)</f>
        <v>5</v>
      </c>
      <c r="BZ27" s="15" t="n">
        <f aca="false">IFERROR(LARGE($AH$6:$AK$25,26),0)</f>
        <v>0</v>
      </c>
      <c r="CA27" s="15" t="n">
        <f aca="false">CA26+BZ27</f>
        <v>0</v>
      </c>
      <c r="CB27" s="15" t="n">
        <f aca="false">IFERROR(LARGE($AM$6:$AP$25,26),0)</f>
        <v>0</v>
      </c>
      <c r="CC27" s="15" t="n">
        <f aca="false">CC26+CB27</f>
        <v>0</v>
      </c>
    </row>
    <row r="28" customFormat="false" ht="15" hidden="false" customHeight="false" outlineLevel="0" collapsed="false">
      <c r="B28" s="5" t="s">
        <v>223</v>
      </c>
      <c r="T28" s="15" t="s">
        <v>224</v>
      </c>
      <c r="U28" s="15" t="n">
        <f aca="false">IF($U$16&gt;=100,1,0)</f>
        <v>0</v>
      </c>
      <c r="BZ28" s="15" t="n">
        <f aca="false">IFERROR(LARGE($AH$6:$AK$25,27),0)</f>
        <v>0</v>
      </c>
      <c r="CA28" s="15" t="n">
        <f aca="false">CA27+BZ28</f>
        <v>0</v>
      </c>
      <c r="CB28" s="15" t="n">
        <f aca="false">IFERROR(LARGE($AM$6:$AP$25,27),0)</f>
        <v>0</v>
      </c>
      <c r="CC28" s="15" t="n">
        <f aca="false">CC27+CB28</f>
        <v>0</v>
      </c>
    </row>
    <row r="29" customFormat="false" ht="15" hidden="false" customHeight="false" outlineLevel="0" collapsed="false">
      <c r="B29" s="12" t="s">
        <v>225</v>
      </c>
      <c r="L29" s="44" t="s">
        <v>226</v>
      </c>
      <c r="T29" s="15" t="s">
        <v>227</v>
      </c>
      <c r="U29" s="15" t="n">
        <f aca="false">IF(AND($U$17&gt;=$U$26,$U$18&gt;=2),1,0)</f>
        <v>0</v>
      </c>
      <c r="BZ29" s="15" t="n">
        <f aca="false">IFERROR(LARGE($AH$6:$AK$25,28),0)</f>
        <v>0</v>
      </c>
      <c r="CA29" s="15" t="n">
        <f aca="false">CA28+BZ29</f>
        <v>0</v>
      </c>
      <c r="CB29" s="15" t="n">
        <f aca="false">IFERROR(LARGE($AM$6:$AP$25,28),0)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">
        <v>228</v>
      </c>
      <c r="L30" s="8" t="s">
        <v>229</v>
      </c>
      <c r="T30" s="15" t="s">
        <v>230</v>
      </c>
      <c r="U30" s="15" t="n">
        <f aca="false">IF($U$20=0,1,0)</f>
        <v>1</v>
      </c>
      <c r="BZ30" s="15" t="n">
        <f aca="false">IFERROR(LARGE($AH$6:$AK$25,29),0)</f>
        <v>0</v>
      </c>
      <c r="CA30" s="15" t="n">
        <f aca="false">CA29+BZ30</f>
        <v>0</v>
      </c>
      <c r="CB30" s="15" t="n">
        <f aca="false">IFERROR(LARGE($AM$6:$AP$25,29),0)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231</v>
      </c>
      <c r="L31" s="45" t="s">
        <v>232</v>
      </c>
      <c r="T31" s="15" t="s">
        <v>233</v>
      </c>
      <c r="U31" s="15" t="n">
        <f aca="false">$U$28*$U$29*$U$30</f>
        <v>0</v>
      </c>
      <c r="BZ31" s="15" t="n">
        <f aca="false">IFERROR(LARGE($AH$6:$AK$25,30),0)</f>
        <v>0</v>
      </c>
      <c r="CA31" s="15" t="n">
        <f aca="false">CA30+BZ31</f>
        <v>0</v>
      </c>
      <c r="CB31" s="15" t="n">
        <f aca="false">IFERROR(LARGE($AM$6:$AP$25,30),0)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234</v>
      </c>
      <c r="L32" s="46" t="s">
        <v>235</v>
      </c>
      <c r="T32" s="15" t="s">
        <v>236</v>
      </c>
      <c r="U32" s="15" t="n">
        <f aca="false">IF($U$21&gt;=100,1,0)</f>
        <v>1</v>
      </c>
      <c r="BZ32" s="15" t="n">
        <f aca="false">IFERROR(LARGE($AH$6:$AK$25,31),0)</f>
        <v>0</v>
      </c>
      <c r="CA32" s="15" t="n">
        <f aca="false">CA31+BZ32</f>
        <v>0</v>
      </c>
      <c r="CB32" s="15" t="n">
        <f aca="false">IFERROR(LARGE($AM$6:$AP$25,31),0)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237</v>
      </c>
      <c r="L33" s="47" t="s">
        <v>238</v>
      </c>
      <c r="T33" s="15" t="s">
        <v>239</v>
      </c>
      <c r="U33" s="15" t="n">
        <f aca="false">IF(AND($U$22&gt;=$U$26,$U$23&gt;=2),1,0)</f>
        <v>1</v>
      </c>
      <c r="BZ33" s="15" t="n">
        <f aca="false">IFERROR(LARGE($AH$6:$AK$25,32),0)</f>
        <v>0</v>
      </c>
      <c r="CA33" s="15" t="n">
        <f aca="false">CA32+BZ33</f>
        <v>0</v>
      </c>
      <c r="CB33" s="15" t="n">
        <f aca="false">IFERROR(LARGE($AM$6:$AP$25,32),0)</f>
        <v>0</v>
      </c>
      <c r="CC33" s="15" t="n">
        <f aca="false">CC32+CB33</f>
        <v>0</v>
      </c>
    </row>
    <row r="34" customFormat="false" ht="15" hidden="false" customHeight="false" outlineLevel="0" collapsed="false">
      <c r="T34" s="15" t="s">
        <v>240</v>
      </c>
      <c r="U34" s="15" t="n">
        <f aca="false">IF($U$25=0,1,0)</f>
        <v>1</v>
      </c>
      <c r="BZ34" s="15" t="n">
        <f aca="false">IFERROR(LARGE($AH$6:$AK$25,33),0)</f>
        <v>0</v>
      </c>
      <c r="CA34" s="15" t="n">
        <f aca="false">CA33+BZ34</f>
        <v>0</v>
      </c>
      <c r="CB34" s="15" t="n">
        <f aca="false">IFERROR(LARGE($AM$6:$AP$25,33),0)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8" t="s">
        <v>241</v>
      </c>
      <c r="L35" s="48" t="s">
        <v>242</v>
      </c>
      <c r="T35" s="15" t="s">
        <v>243</v>
      </c>
      <c r="U35" s="15" t="n">
        <f aca="false">$U$32*$U$33*$U$34</f>
        <v>1</v>
      </c>
      <c r="BZ35" s="15" t="n">
        <f aca="false">IFERROR(LARGE($AH$6:$AK$25,34),0)</f>
        <v>0</v>
      </c>
      <c r="CA35" s="15" t="n">
        <f aca="false">CA34+BZ35</f>
        <v>0</v>
      </c>
      <c r="CB35" s="15" t="n">
        <f aca="false">IFERROR(LARGE($AM$6:$AP$25,34),0)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49" t="s">
        <v>244</v>
      </c>
      <c r="L36" s="48" t="s">
        <v>245</v>
      </c>
      <c r="T36" s="15" t="s">
        <v>246</v>
      </c>
      <c r="U36" s="15" t="n">
        <f aca="false">INDEX($DG$3:$DG$5,$U$13)+$U$27</f>
        <v>45</v>
      </c>
      <c r="BZ36" s="15" t="n">
        <f aca="false">IFERROR(LARGE($AH$6:$AK$25,35),0)</f>
        <v>0</v>
      </c>
      <c r="CA36" s="15" t="n">
        <f aca="false">CA35+BZ36</f>
        <v>0</v>
      </c>
      <c r="CB36" s="15" t="n">
        <f aca="false">IFERROR(LARGE($AM$6:$AP$25,35),0)</f>
        <v>0</v>
      </c>
      <c r="CC36" s="15" t="n">
        <f aca="false">CC35+CB36</f>
        <v>0</v>
      </c>
    </row>
    <row r="37" customFormat="false" ht="15" hidden="false" customHeight="false" outlineLevel="0" collapsed="false">
      <c r="T37" s="15" t="s">
        <v>247</v>
      </c>
      <c r="U37" s="15" t="n">
        <f aca="false">IF($U$36=0,1,0)</f>
        <v>0</v>
      </c>
      <c r="BZ37" s="15" t="n">
        <f aca="false">IFERROR(LARGE($AH$6:$AK$25,36),0)</f>
        <v>0</v>
      </c>
      <c r="CA37" s="15" t="n">
        <f aca="false">CA36+BZ37</f>
        <v>0</v>
      </c>
      <c r="CB37" s="15" t="n">
        <f aca="false">IFERROR(LARGE($AM$6:$AP$25,36),0)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0" t="s">
        <v>248</v>
      </c>
      <c r="T38" s="15" t="s">
        <v>249</v>
      </c>
      <c r="U38" s="15" t="n">
        <f aca="false">IF($U$37=1,INDEX($CQ$3:$CQ$5,$U$13),INDEX($CQ$23:$CQ$25,$U$14))</f>
        <v>280</v>
      </c>
      <c r="BZ38" s="15" t="n">
        <f aca="false">IFERROR(LARGE($AH$6:$AK$25,37),0)</f>
        <v>0</v>
      </c>
      <c r="CA38" s="15" t="n">
        <f aca="false">CA37+BZ38</f>
        <v>0</v>
      </c>
      <c r="CB38" s="15" t="n">
        <f aca="false">IFERROR(LARGE($AM$6:$AP$25,37),0)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1" t="s">
        <v>250</v>
      </c>
      <c r="T39" s="15" t="s">
        <v>251</v>
      </c>
      <c r="U39" s="15" t="n">
        <f aca="false">IF($U$37=1,INDEX($CK$3:$CK$5,$U$13),INDEX($CK$23:$CK$25,$U$14))</f>
        <v>40</v>
      </c>
      <c r="BZ39" s="15" t="n">
        <f aca="false">IFERROR(LARGE($AH$6:$AK$25,38),0)</f>
        <v>0</v>
      </c>
      <c r="CA39" s="15" t="n">
        <f aca="false">CA38+BZ39</f>
        <v>0</v>
      </c>
      <c r="CB39" s="15" t="n">
        <f aca="false">IFERROR(LARGE($AM$6:$AP$25,38),0)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252</v>
      </c>
      <c r="U40" s="15" t="n">
        <f aca="false">IF($U$37=1,INDEX($CR$3:$CR$5,$U$13),INDEX($CR$23:$CR$25,$U$14))</f>
        <v>0</v>
      </c>
      <c r="BZ40" s="15" t="n">
        <f aca="false">IFERROR(LARGE($AH$6:$AK$25,39),0)</f>
        <v>0</v>
      </c>
      <c r="CA40" s="15" t="n">
        <f aca="false">CA39+BZ40</f>
        <v>0</v>
      </c>
      <c r="CB40" s="15" t="n">
        <f aca="false">IFERROR(LARGE($AM$6:$AP$25,39),0)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253</v>
      </c>
      <c r="U41" s="15" t="n">
        <f aca="false">IF($U$37=1,INDEX($CS$3:$CS$5,$U$13),INDEX($CS$23:$CS$25,$U$14))</f>
        <v>8</v>
      </c>
      <c r="BZ41" s="15" t="n">
        <f aca="false">IFERROR(LARGE($AH$6:$AK$25,40),0)</f>
        <v>0</v>
      </c>
      <c r="CA41" s="15" t="n">
        <f aca="false">CA40+BZ41</f>
        <v>0</v>
      </c>
      <c r="CB41" s="15" t="n">
        <f aca="false">IFERROR(LARGE($AM$6:$AP$25,40),0)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254</v>
      </c>
      <c r="U42" s="15" t="n">
        <f aca="false">IF($U$37=1,INDEX($CT$3:$CT$5,$U$13),INDEX($CT$23:$CT$25,$U$14))</f>
        <v>0</v>
      </c>
      <c r="BZ42" s="15" t="n">
        <f aca="false">IFERROR(LARGE($AH$6:$AK$25,41),0)</f>
        <v>0</v>
      </c>
      <c r="CA42" s="15" t="n">
        <f aca="false">CA41+BZ42</f>
        <v>0</v>
      </c>
      <c r="CB42" s="15" t="n">
        <f aca="false">IFERROR(LARGE($AM$6:$AP$25,41),0)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255</v>
      </c>
      <c r="U43" s="15" t="n">
        <f aca="false">IF($U$37=1,INDEX($CL$3:$CL$5,$U$13),INDEX($CL$23:$CL$25,$U$14))</f>
        <v>140</v>
      </c>
      <c r="BZ43" s="15" t="n">
        <f aca="false">IFERROR(LARGE($AH$6:$AK$25,42),0)</f>
        <v>0</v>
      </c>
      <c r="CA43" s="15" t="n">
        <f aca="false">CA42+BZ43</f>
        <v>0</v>
      </c>
      <c r="CB43" s="15" t="n">
        <f aca="false">IFERROR(LARGE($AM$6:$AP$25,42),0)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256</v>
      </c>
      <c r="U44" s="15" t="n">
        <f aca="false">IF($U$37=1,INDEX($CU$3:$CU$5,$U$13),INDEX($CU$23:$CU$25,$U$14))</f>
        <v>196</v>
      </c>
      <c r="BZ44" s="15" t="n">
        <f aca="false">IFERROR(LARGE($AH$6:$AK$25,43),0)</f>
        <v>0</v>
      </c>
      <c r="CA44" s="15" t="n">
        <f aca="false">CA43+BZ44</f>
        <v>0</v>
      </c>
      <c r="CB44" s="15" t="n">
        <f aca="false">IFERROR(LARGE($AM$6:$AP$25,43),0)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257</v>
      </c>
      <c r="U45" s="15" t="n">
        <f aca="false">IF($U$37=1,INDEX($CP$3:$CP$5,$U$13),INDEX($CP$23:$CP$25,$U$14))</f>
        <v>48</v>
      </c>
      <c r="BZ45" s="15" t="n">
        <f aca="false">IFERROR(LARGE($AH$6:$AK$25,44),0)</f>
        <v>0</v>
      </c>
      <c r="CA45" s="15" t="n">
        <f aca="false">CA44+BZ45</f>
        <v>0</v>
      </c>
      <c r="CB45" s="15" t="n">
        <f aca="false">IFERROR(LARGE($AM$6:$AP$25,44),0)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258</v>
      </c>
      <c r="U46" s="15" t="n">
        <f aca="false">IF($U$37=1,INDEX($CO$3:$CO$5,$U$13),INDEX($CO$23:$CO$25,$U$14))</f>
        <v>336</v>
      </c>
      <c r="BZ46" s="15" t="n">
        <f aca="false">IFERROR(LARGE($AH$6:$AK$25,45),0)</f>
        <v>0</v>
      </c>
      <c r="CA46" s="15" t="n">
        <f aca="false">CA45+BZ46</f>
        <v>0</v>
      </c>
      <c r="CB46" s="15" t="n">
        <f aca="false">IFERROR(LARGE($AM$6:$AP$25,45),0)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259</v>
      </c>
      <c r="U47" s="15" t="n">
        <f aca="false">IF($U$37=1,INDEX($CH$3:$CH$5,$U$13),INDEX($CH$23:$CH$25,$U$14))</f>
        <v>0</v>
      </c>
      <c r="BZ47" s="15" t="n">
        <f aca="false">IFERROR(LARGE($AH$6:$AK$25,46),0)</f>
        <v>0</v>
      </c>
      <c r="CA47" s="15" t="n">
        <f aca="false">CA46+BZ47</f>
        <v>0</v>
      </c>
      <c r="CB47" s="15" t="n">
        <f aca="false">IFERROR(LARGE($AM$6:$AP$25,46),0)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260</v>
      </c>
      <c r="U48" s="15" t="n">
        <f aca="false">IF($U$37=1,INDEX($DF$3:$DF$5,$U$13),INDEX($DF$23:$DF$25,$U$14))</f>
        <v>1</v>
      </c>
      <c r="BZ48" s="15" t="n">
        <f aca="false">IFERROR(LARGE($AH$6:$AK$25,47),0)</f>
        <v>0</v>
      </c>
      <c r="CA48" s="15" t="n">
        <f aca="false">CA47+BZ48</f>
        <v>0</v>
      </c>
      <c r="CB48" s="15" t="n">
        <f aca="false">IFERROR(LARGE($AM$6:$AP$25,47),0)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261</v>
      </c>
      <c r="U49" s="15" t="n">
        <f aca="false">IF($U$37=1,INDEX($CV$3:$CV$5,$U$13),INDEX($CV$23:$CV$25,$U$14))</f>
        <v>1</v>
      </c>
      <c r="BZ49" s="15" t="n">
        <f aca="false">IFERROR(LARGE($AH$6:$AK$25,48),0)</f>
        <v>0</v>
      </c>
      <c r="CA49" s="15" t="n">
        <f aca="false">CA48+BZ49</f>
        <v>0</v>
      </c>
      <c r="CB49" s="15" t="n">
        <f aca="false">IFERROR(LARGE($AM$6:$AP$25,48),0)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262</v>
      </c>
      <c r="U50" s="15" t="n">
        <f aca="false">IF($U$37=1,INDEX($CW$3:$CW$5,$U$13),INDEX($CW$23:$CW$25,$U$14))</f>
        <v>1</v>
      </c>
      <c r="BZ50" s="15" t="n">
        <f aca="false">IFERROR(LARGE($AH$6:$AK$25,49),0)</f>
        <v>0</v>
      </c>
      <c r="CA50" s="15" t="n">
        <f aca="false">CA49+BZ50</f>
        <v>0</v>
      </c>
      <c r="CB50" s="15" t="n">
        <f aca="false">IFERROR(LARGE($AM$6:$AP$25,49),0)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263</v>
      </c>
      <c r="U51" s="15" t="n">
        <f aca="false">IF($U$37=1,INDEX($CX$3:$CX$5,$U$13),INDEX($CX$23:$CX$25,$U$14))</f>
        <v>1</v>
      </c>
      <c r="BZ51" s="15" t="n">
        <f aca="false">IFERROR(LARGE($AH$6:$AK$25,50),0)</f>
        <v>0</v>
      </c>
      <c r="CA51" s="15" t="n">
        <f aca="false">CA50+BZ51</f>
        <v>0</v>
      </c>
      <c r="CB51" s="15" t="n">
        <f aca="false">IFERROR(LARGE($AM$6:$AP$25,50),0)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264</v>
      </c>
      <c r="U52" s="15" t="n">
        <f aca="false">IF($U$37=1,INDEX($CY$3:$CY$5,$U$13),INDEX($CY$23:$CY$25,$U$14))</f>
        <v>1</v>
      </c>
      <c r="BZ52" s="15" t="n">
        <f aca="false">IFERROR(LARGE($AH$6:$AK$25,51),0)</f>
        <v>0</v>
      </c>
      <c r="CA52" s="15" t="n">
        <f aca="false">CA51+BZ52</f>
        <v>0</v>
      </c>
      <c r="CB52" s="15" t="n">
        <f aca="false">IFERROR(LARGE($AM$6:$AP$25,51),0)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265</v>
      </c>
      <c r="U53" s="15" t="n">
        <f aca="false">IF($U$37=1,INDEX($CZ$3:$CZ$5,$U$13),INDEX($CZ$23:$CZ$25,$U$14))</f>
        <v>1</v>
      </c>
      <c r="BZ53" s="15" t="n">
        <f aca="false">IFERROR(LARGE($AH$6:$AK$25,52),0)</f>
        <v>0</v>
      </c>
      <c r="CA53" s="15" t="n">
        <f aca="false">CA52+BZ53</f>
        <v>0</v>
      </c>
      <c r="CB53" s="15" t="n">
        <f aca="false">IFERROR(LARGE($AM$6:$AP$25,52),0)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266</v>
      </c>
      <c r="U54" s="15" t="n">
        <f aca="false">IF($U$37=1,INDEX($DA$3:$DA$5,$U$13),INDEX($DA$23:$DA$25,$U$14))</f>
        <v>1</v>
      </c>
      <c r="BZ54" s="15" t="n">
        <f aca="false">IFERROR(LARGE($AH$6:$AK$25,53),0)</f>
        <v>0</v>
      </c>
      <c r="CA54" s="15" t="n">
        <f aca="false">CA53+BZ54</f>
        <v>0</v>
      </c>
      <c r="CB54" s="15" t="n">
        <f aca="false">IFERROR(LARGE($AM$6:$AP$25,53),0)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267</v>
      </c>
      <c r="U55" s="15" t="n">
        <f aca="false">IF($U$37=1,INDEX($DB$3:$DB$5,$U$13),INDEX($DB$23:$DB$25,$U$14))</f>
        <v>1</v>
      </c>
      <c r="BZ55" s="15" t="n">
        <f aca="false">IFERROR(LARGE($AH$6:$AK$25,54),0)</f>
        <v>0</v>
      </c>
      <c r="CA55" s="15" t="n">
        <f aca="false">CA54+BZ55</f>
        <v>0</v>
      </c>
      <c r="CB55" s="15" t="n">
        <f aca="false">IFERROR(LARGE($AM$6:$AP$25,54),0)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268</v>
      </c>
      <c r="U56" s="15" t="n">
        <f aca="false">IF($U$37=1,INDEX($DC$3:$DC$5,$U$13),INDEX($DC$23:$DC$25,$U$14))</f>
        <v>1</v>
      </c>
      <c r="BZ56" s="15" t="n">
        <f aca="false">IFERROR(LARGE($AH$6:$AK$25,55),0)</f>
        <v>0</v>
      </c>
      <c r="CA56" s="15" t="n">
        <f aca="false">CA55+BZ56</f>
        <v>0</v>
      </c>
      <c r="CB56" s="15" t="n">
        <f aca="false">IFERROR(LARGE($AM$6:$AP$25,55),0)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269</v>
      </c>
      <c r="U57" s="15" t="n">
        <f aca="false">IF($U$37=1,INDEX($DD$3:$DD$5,$U$13),INDEX($DD$23:$DD$25,$U$14))</f>
        <v>1</v>
      </c>
      <c r="BZ57" s="15" t="n">
        <f aca="false">IFERROR(LARGE($AH$6:$AK$25,56),0)</f>
        <v>0</v>
      </c>
      <c r="CA57" s="15" t="n">
        <f aca="false">CA56+BZ57</f>
        <v>0</v>
      </c>
      <c r="CB57" s="15" t="n">
        <f aca="false">IFERROR(LARGE($AM$6:$AP$25,56),0)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270</v>
      </c>
      <c r="U58" s="15" t="n">
        <f aca="false">IF($U$37=1,INDEX($DE$3:$DE$5,$U$13),INDEX($DE$23:$DE$25,$U$14))</f>
        <v>1</v>
      </c>
    </row>
    <row r="59" customFormat="false" ht="15" hidden="false" customHeight="false" outlineLevel="0" collapsed="false">
      <c r="T59" s="15" t="s">
        <v>271</v>
      </c>
      <c r="U59" s="15" t="n">
        <f aca="false">IF($U$37=1,$U$13,$U$14)</f>
        <v>1</v>
      </c>
    </row>
    <row r="60" customFormat="false" ht="15" hidden="false" customHeight="false" outlineLevel="0" collapsed="false">
      <c r="T60" s="15" t="s">
        <v>272</v>
      </c>
      <c r="U60" s="15" t="n">
        <f aca="false">IF($U$37=1,$U$9,$V$9)</f>
        <v>0</v>
      </c>
    </row>
    <row r="61" customFormat="false" ht="15" hidden="false" customHeight="false" outlineLevel="0" collapsed="false">
      <c r="T61" s="15" t="s">
        <v>273</v>
      </c>
      <c r="U61" s="15" t="n">
        <f aca="false">IF($U$37=1,$U$16,$U$21)</f>
        <v>140</v>
      </c>
    </row>
    <row r="62" customFormat="false" ht="15" hidden="false" customHeight="false" outlineLevel="0" collapsed="false">
      <c r="T62" s="15" t="s">
        <v>274</v>
      </c>
      <c r="U62" s="15" t="n">
        <f aca="false">IF($U$37=1,$U$17,$U$22)</f>
        <v>5</v>
      </c>
    </row>
    <row r="63" customFormat="false" ht="15" hidden="false" customHeight="false" outlineLevel="0" collapsed="false">
      <c r="T63" s="15" t="s">
        <v>275</v>
      </c>
      <c r="U63" s="15" t="n">
        <f aca="false">IF($U$37=1,$U$28,$U$32)</f>
        <v>1</v>
      </c>
    </row>
    <row r="64" customFormat="false" ht="15" hidden="false" customHeight="false" outlineLevel="0" collapsed="false">
      <c r="T64" s="15" t="s">
        <v>276</v>
      </c>
      <c r="U64" s="15" t="n">
        <f aca="false">IF($U$37=1,$U$29,$U$33)</f>
        <v>1</v>
      </c>
    </row>
    <row r="65" customFormat="false" ht="15" hidden="false" customHeight="false" outlineLevel="0" collapsed="false">
      <c r="T65" s="15" t="s">
        <v>277</v>
      </c>
      <c r="U65" s="15" t="n">
        <f aca="false">IF($U$37=1,$U$30,$U$34)</f>
        <v>1</v>
      </c>
    </row>
    <row r="66" customFormat="false" ht="15" hidden="false" customHeight="false" outlineLevel="0" collapsed="false">
      <c r="T66" s="15" t="s">
        <v>278</v>
      </c>
      <c r="U66" s="15" t="n">
        <f aca="false">IF($U$37=1,$U$31,$U$35)</f>
        <v>1</v>
      </c>
    </row>
    <row r="67" customFormat="false" ht="15" hidden="false" customHeight="false" outlineLevel="0" collapsed="false">
      <c r="T67" s="15" t="s">
        <v>188</v>
      </c>
      <c r="U67" s="15" t="n">
        <f aca="false">$U$38+$U$61</f>
        <v>420</v>
      </c>
    </row>
    <row r="68" customFormat="false" ht="15" hidden="false" customHeight="false" outlineLevel="0" collapsed="false">
      <c r="T68" s="15" t="s">
        <v>279</v>
      </c>
      <c r="U68" s="15" t="n">
        <f aca="false">IF($U$67&gt;=300,1,0)</f>
        <v>1</v>
      </c>
    </row>
    <row r="69" customFormat="false" ht="15" hidden="false" customHeight="false" outlineLevel="0" collapsed="false">
      <c r="T69" s="15" t="s">
        <v>280</v>
      </c>
      <c r="U69" s="15" t="n">
        <f aca="false">IF($U$48*$U$66*$U$68=1,1,0)</f>
        <v>1</v>
      </c>
    </row>
    <row r="70" customFormat="false" ht="15" hidden="false" customHeight="false" outlineLevel="0" collapsed="false">
      <c r="T70" s="0" t="s">
        <v>281</v>
      </c>
      <c r="U70" s="0" t="n">
        <f aca="false">IF($U$67&lt;300,"",MAX(10,MIN(40,INT((1020-$U$67)/18))))</f>
        <v>33</v>
      </c>
    </row>
    <row r="71" customFormat="false" ht="15" hidden="false" customHeight="false" outlineLevel="0" collapsed="false">
      <c r="T71" s="0" t="s">
        <v>282</v>
      </c>
      <c r="U71" s="0" t="n">
        <f aca="false">IF($U$70="",MAX(0,300-$U$67),IF($U$70&gt;10,1021-18*$U$70-$U$67,""))</f>
        <v>7</v>
      </c>
    </row>
    <row r="72" customFormat="false" ht="15" hidden="false" customHeight="false" outlineLevel="0" collapsed="false">
      <c r="T72" s="0" t="s">
        <v>283</v>
      </c>
      <c r="U72" s="0" t="n">
        <f aca="false">IF($U$70="","",$U$67-IF($U$70&gt;=40,300,1020-18*($U$70+1)+1))</f>
        <v>11</v>
      </c>
    </row>
  </sheetData>
  <sheetProtection sheet="true" formatCells="false" formatColumns="false" formatRows="false"/>
  <mergeCells count="1">
    <mergeCell ref="M6:N6"/>
  </mergeCells>
  <conditionalFormatting sqref="E6:H25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10">
    <cfRule type="expression" priority="5" aboveAverage="0" equalAverage="0" bottom="0" percent="0" rank="0" text="" dxfId="3">
      <formula>AND(ISNUMBER(I6),I6&lt;5)</formula>
    </cfRule>
  </conditionalFormatting>
  <conditionalFormatting sqref="M19:M27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2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8 E9:I10 E12:H25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2:D25" type="list">
      <formula1>"x"</formula1>
      <formula2>0</formula2>
    </dataValidation>
  </dataValidations>
  <hyperlinks>
    <hyperlink ref="B36" r:id="rId2" display="https://km.baden-wuerttemberg.de/fileadmin/redaktion/m-km/intern/PDF/Publikationen/Gymnasium/2025_Leitfaden_fuer_die_gymnasiale_Oberstufe_Abitur_2027.pdf"/>
    <hyperlink ref="B38" r:id="rId3" display="Online-Rechner Baden-Württemberg mit Statistik und PDF-Download: https://www.abi-rechner.com/bundeslander/baden-wuerttemberg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Baden-Württemberg · abi-rechner.com · Stand September 2026</oddFooter>
  </headerFooter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8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284</v>
      </c>
      <c r="T1" s="15" t="s">
        <v>72</v>
      </c>
      <c r="BZ1" s="15" t="s">
        <v>73</v>
      </c>
      <c r="CA1" s="15" t="s">
        <v>74</v>
      </c>
      <c r="CB1" s="15" t="s">
        <v>75</v>
      </c>
      <c r="CC1" s="15" t="s">
        <v>76</v>
      </c>
    </row>
    <row r="2" customFormat="false" ht="15" hidden="false" customHeight="false" outlineLevel="0" collapsed="false">
      <c r="B2" s="2" t="s">
        <v>285</v>
      </c>
      <c r="T2" s="15" t="s">
        <v>78</v>
      </c>
      <c r="U2" s="15" t="n">
        <f aca="false">IFERROR(AVERAGE($E$6:$H$25),7)</f>
        <v>7</v>
      </c>
      <c r="BZ2" s="15" t="n">
        <f aca="false">IFERROR(LARGE($AH$6:$AK$25,1),0)</f>
        <v>0</v>
      </c>
      <c r="CA2" s="15" t="n">
        <f aca="false">BZ2</f>
        <v>0</v>
      </c>
      <c r="CB2" s="15" t="n">
        <f aca="false">IFERROR(LARGE($AM$6:$AP$25,1),0)</f>
        <v>0</v>
      </c>
      <c r="CC2" s="15" t="n">
        <f aca="false">CB2</f>
        <v>0</v>
      </c>
      <c r="CE2" s="15" t="s">
        <v>79</v>
      </c>
      <c r="CF2" s="15" t="s">
        <v>80</v>
      </c>
      <c r="CG2" s="15" t="s">
        <v>81</v>
      </c>
      <c r="CH2" s="15" t="s">
        <v>82</v>
      </c>
      <c r="CI2" s="15" t="s">
        <v>83</v>
      </c>
      <c r="CJ2" s="15" t="s">
        <v>84</v>
      </c>
      <c r="CK2" s="15" t="s">
        <v>85</v>
      </c>
      <c r="CL2" s="15" t="s">
        <v>86</v>
      </c>
      <c r="CM2" s="15" t="s">
        <v>87</v>
      </c>
      <c r="CN2" s="15" t="s">
        <v>88</v>
      </c>
      <c r="CO2" s="15" t="s">
        <v>89</v>
      </c>
      <c r="CP2" s="15" t="s">
        <v>90</v>
      </c>
      <c r="CQ2" s="15" t="s">
        <v>91</v>
      </c>
      <c r="CR2" s="15" t="s">
        <v>92</v>
      </c>
      <c r="CS2" s="15" t="s">
        <v>93</v>
      </c>
      <c r="CT2" s="15" t="s">
        <v>94</v>
      </c>
      <c r="CU2" s="15" t="s">
        <v>95</v>
      </c>
      <c r="CV2" s="15" t="s">
        <v>96</v>
      </c>
      <c r="CW2" s="15" t="s">
        <v>97</v>
      </c>
      <c r="CX2" s="15" t="s">
        <v>98</v>
      </c>
      <c r="CY2" s="15" t="s">
        <v>99</v>
      </c>
      <c r="CZ2" s="15" t="s">
        <v>100</v>
      </c>
      <c r="DA2" s="15" t="s">
        <v>101</v>
      </c>
      <c r="DB2" s="15" t="s">
        <v>102</v>
      </c>
      <c r="DC2" s="15" t="s">
        <v>103</v>
      </c>
      <c r="DD2" s="15" t="s">
        <v>104</v>
      </c>
      <c r="DE2" s="15" t="s">
        <v>105</v>
      </c>
      <c r="DF2" s="15" t="s">
        <v>106</v>
      </c>
      <c r="DG2" s="15" t="s">
        <v>107</v>
      </c>
      <c r="DH2" s="15" t="s">
        <v>108</v>
      </c>
    </row>
    <row r="3" customFormat="false" ht="15" hidden="false" customHeight="false" outlineLevel="0" collapsed="false">
      <c r="B3" s="16" t="s">
        <v>109</v>
      </c>
      <c r="T3" s="15" t="s">
        <v>110</v>
      </c>
      <c r="U3" s="15" t="n">
        <f aca="false">IFERROR(AVERAGE($I$6:$I$10),$U$2)</f>
        <v>7</v>
      </c>
      <c r="BZ3" s="15" t="n">
        <f aca="false">IFERROR(LARGE($AH$6:$AK$25,2),0)</f>
        <v>0</v>
      </c>
      <c r="CA3" s="15" t="n">
        <f aca="false">CA2+BZ3</f>
        <v>0</v>
      </c>
      <c r="CB3" s="15" t="n">
        <f aca="false">IFERROR(LARGE($AM$6:$AP$25,2),0)</f>
        <v>0</v>
      </c>
      <c r="CC3" s="15" t="n">
        <f aca="false">CC2+CB3</f>
        <v>0</v>
      </c>
      <c r="CE3" s="15" t="n">
        <f aca="false">40</f>
        <v>40</v>
      </c>
      <c r="CF3" s="15" t="n">
        <f aca="false">CE3-$U$5-$U$6-2</f>
        <v>18</v>
      </c>
      <c r="CG3" s="15" t="n">
        <f aca="false">MAX(0,CF3)</f>
        <v>18</v>
      </c>
      <c r="CH3" s="15" t="n">
        <f aca="false">MIN(CG3,$U$7)</f>
        <v>0</v>
      </c>
      <c r="CI3" s="15" t="n">
        <f aca="false">CG3-CH3</f>
        <v>18</v>
      </c>
      <c r="CJ3" s="15" t="n">
        <f aca="false">0</f>
        <v>0</v>
      </c>
      <c r="CK3" s="15" t="n">
        <f aca="false">$U$5+CH3+CJ3+$U$14*2</f>
        <v>0</v>
      </c>
      <c r="CL3" s="15" t="n">
        <f aca="false">1*AW6+1*AX6+1*AW7+1*AX7+1*AW8+1*AX8</f>
        <v>0</v>
      </c>
      <c r="CM3" s="15" t="n">
        <f aca="false">1*AY6+1*AZ6+1*AY7+1*AZ7+1*AY8+1*AZ8+1*AY9+1*AZ9+1*AY10+1*AZ10+SUM($AA$12:$AA$25)</f>
        <v>0</v>
      </c>
      <c r="CN3" s="15" t="n">
        <f aca="false">IF(CH3=0,0,INDEX($CA$2:$CA$57,CH3))</f>
        <v>0</v>
      </c>
      <c r="CO3" s="15" t="n">
        <f aca="false">CL3+$U$11+CN3+CJ3*$U$2+IF($U$14=1,$U$13*1,0)</f>
        <v>0</v>
      </c>
      <c r="CP3" s="15" t="n">
        <f aca="false">CM3+CH3+CJ3+$U$14*2</f>
        <v>0</v>
      </c>
      <c r="CQ3" s="15" t="n">
        <f aca="false">MIN(600,INT((CO3)+0.5+0.000000001))</f>
        <v>0</v>
      </c>
      <c r="CR3" s="15" t="n">
        <f aca="false">$U$9+CT3+$U$16</f>
        <v>0</v>
      </c>
      <c r="CS3" s="15" t="n">
        <f aca="false">8</f>
        <v>8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1</f>
        <v>1</v>
      </c>
      <c r="CY3" s="15" t="n">
        <f aca="false">1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IF($U$17&gt;=48,1,0)</f>
        <v>0</v>
      </c>
      <c r="DD3" s="15" t="n">
        <f aca="false">IF($U$18&gt;=100,1,0)</f>
        <v>0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38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111</v>
      </c>
      <c r="U4" s="15" t="n">
        <f aca="false">IF(COUNT($E$6:$H$25,$I$6:$I$10)&gt;0,1,0)</f>
        <v>0</v>
      </c>
      <c r="BZ4" s="15" t="n">
        <f aca="false">IFERROR(LARGE($AH$6:$AK$25,3),0)</f>
        <v>0</v>
      </c>
      <c r="CA4" s="15" t="n">
        <f aca="false">CA3+BZ4</f>
        <v>0</v>
      </c>
      <c r="CB4" s="15" t="n">
        <f aca="false">IFERROR(LARGE($AM$6:$AP$25,3),0)</f>
        <v>0</v>
      </c>
      <c r="CC4" s="15" t="n">
        <f aca="false">CC3+CB4</f>
        <v>0</v>
      </c>
    </row>
    <row r="5" customFormat="false" ht="30" hidden="false" customHeight="true" outlineLevel="0" collapsed="false">
      <c r="B5" s="17" t="s">
        <v>9</v>
      </c>
      <c r="C5" s="17" t="s">
        <v>112</v>
      </c>
      <c r="D5" s="18"/>
      <c r="E5" s="18" t="s">
        <v>113</v>
      </c>
      <c r="F5" s="18" t="s">
        <v>114</v>
      </c>
      <c r="G5" s="18" t="s">
        <v>115</v>
      </c>
      <c r="H5" s="18" t="s">
        <v>116</v>
      </c>
      <c r="I5" s="18" t="s">
        <v>11</v>
      </c>
      <c r="J5" s="18" t="s">
        <v>117</v>
      </c>
      <c r="L5" s="19" t="s">
        <v>118</v>
      </c>
      <c r="M5" s="20"/>
      <c r="N5" s="20"/>
      <c r="T5" s="15" t="s">
        <v>119</v>
      </c>
      <c r="U5" s="15" t="n">
        <f aca="false">AY6+AY7+AY8+AY9+AY10+AZ6+AZ7+AZ8+AZ9+AZ10+SUM($AA$12:$AA$25)</f>
        <v>0</v>
      </c>
      <c r="V5" s="15" t="n">
        <f aca="false">BG6+BG7+BG8+BG9+BG10+BH6+BH7+BH8+BH9+BH10+SUM($AE$12:$AE$25)</f>
        <v>20</v>
      </c>
      <c r="AH5" s="15" t="s">
        <v>120</v>
      </c>
      <c r="AM5" s="15" t="s">
        <v>121</v>
      </c>
      <c r="AR5" s="15" t="s">
        <v>122</v>
      </c>
      <c r="AW5" s="15" t="s">
        <v>123</v>
      </c>
      <c r="AX5" s="15" t="s">
        <v>124</v>
      </c>
      <c r="AY5" s="15" t="s">
        <v>125</v>
      </c>
      <c r="AZ5" s="15" t="s">
        <v>126</v>
      </c>
      <c r="BA5" s="15" t="s">
        <v>127</v>
      </c>
      <c r="BB5" s="15" t="s">
        <v>128</v>
      </c>
      <c r="BC5" s="15" t="s">
        <v>129</v>
      </c>
      <c r="BD5" s="15" t="s">
        <v>130</v>
      </c>
      <c r="BE5" s="15" t="s">
        <v>131</v>
      </c>
      <c r="BF5" s="15" t="s">
        <v>132</v>
      </c>
      <c r="BG5" s="15" t="s">
        <v>133</v>
      </c>
      <c r="BH5" s="15" t="s">
        <v>134</v>
      </c>
      <c r="BI5" s="15" t="s">
        <v>135</v>
      </c>
      <c r="BJ5" s="15" t="s">
        <v>136</v>
      </c>
      <c r="BK5" s="15" t="s">
        <v>137</v>
      </c>
      <c r="BL5" s="15" t="s">
        <v>138</v>
      </c>
      <c r="BN5" s="15" t="s">
        <v>139</v>
      </c>
      <c r="BO5" s="15" t="s">
        <v>140</v>
      </c>
      <c r="BP5" s="15" t="s">
        <v>141</v>
      </c>
      <c r="BQ5" s="15" t="s">
        <v>128</v>
      </c>
      <c r="BR5" s="15" t="s">
        <v>142</v>
      </c>
      <c r="BT5" s="15" t="s">
        <v>143</v>
      </c>
      <c r="BU5" s="15" t="s">
        <v>144</v>
      </c>
      <c r="BV5" s="15" t="s">
        <v>145</v>
      </c>
      <c r="BW5" s="15" t="s">
        <v>136</v>
      </c>
      <c r="BX5" s="15" t="s">
        <v>146</v>
      </c>
      <c r="BZ5" s="15" t="n">
        <f aca="false">IFERROR(LARGE($AH$6:$AK$25,4),0)</f>
        <v>0</v>
      </c>
      <c r="CA5" s="15" t="n">
        <f aca="false">CA4+BZ5</f>
        <v>0</v>
      </c>
      <c r="CB5" s="15" t="n">
        <f aca="false">IFERROR(LARGE($AM$6:$AP$25,4),0)</f>
        <v>0</v>
      </c>
      <c r="CC5" s="15" t="n">
        <f aca="false">CC4+CB5</f>
        <v>0</v>
      </c>
    </row>
    <row r="6" customFormat="false" ht="39.75" hidden="false" customHeight="true" outlineLevel="0" collapsed="false">
      <c r="B6" s="21" t="s">
        <v>286</v>
      </c>
      <c r="C6" s="22"/>
      <c r="D6" s="23" t="s">
        <v>148</v>
      </c>
      <c r="E6" s="24"/>
      <c r="F6" s="24"/>
      <c r="G6" s="24"/>
      <c r="H6" s="24"/>
      <c r="I6" s="25"/>
      <c r="J6" s="24"/>
      <c r="L6" s="26" t="s">
        <v>149</v>
      </c>
      <c r="M6" s="27" t="str">
        <f aca="false">IF($U$4=0,"Noch keine Eingaben – trag deine Punkte in die gelben Felder ein.",IF($U$43=1,"Endergebnis (alle Felder ausgefüllt)","Prognose: "&amp;$U$42&amp;" Felder offen, gefüllt mit deinem Schnitt von "&amp;FIXED($U$2,1)&amp;" Punkten"))</f>
        <v>Noch keine Eingaben – trag deine Punkte in die gelben Felder ein.</v>
      </c>
      <c r="N6" s="27"/>
      <c r="T6" s="15" t="s">
        <v>150</v>
      </c>
      <c r="U6" s="15" t="n">
        <f aca="false">BC6+BC7+BC8+BC9+BC10</f>
        <v>20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IF(BN6="","",IF(ISNUMBER($J$6),INT(((2*BN6+$J$6)/3*$U$21)+0.5+0.000000001),BN6*$U$21))</f>
        <v/>
      </c>
      <c r="BP6" s="15" t="n">
        <f aca="false">IF(BO6="",0,IF(BO6&gt;=5*$U$21-0.000000001,1,0))</f>
        <v>0</v>
      </c>
      <c r="BQ6" s="15" t="n">
        <f aca="false">IF(BO6="",0,IF(BO6&lt;0.000000001,1,0))</f>
        <v>0</v>
      </c>
      <c r="BR6" s="15" t="n">
        <f aca="false">IF(BO6="",0,IF(BO6&lt;1*$U$21-0.000000001,1,0))</f>
        <v>0</v>
      </c>
      <c r="BT6" s="15" t="n">
        <f aca="false">IF(ISNUMBER($I$6),$I$6,$U$3)</f>
        <v>7</v>
      </c>
      <c r="BU6" s="15" t="n">
        <f aca="false">IF(BT6="","",IF(ISNUMBER($J$6),INT(((2*BT6+$J$6)/3*$U$21)+0.5+0.000000001),BT6*$U$21))</f>
        <v>28</v>
      </c>
      <c r="BV6" s="15" t="n">
        <f aca="false">IF(BU6="",0,IF(BU6&gt;=5*$U$21-0.000000001,1,0))</f>
        <v>1</v>
      </c>
      <c r="BW6" s="15" t="n">
        <f aca="false">IF(BU6="",0,IF(BU6&lt;0.000000001,1,0))</f>
        <v>0</v>
      </c>
      <c r="BX6" s="15" t="n">
        <f aca="false">IF(BU6="",0,IF(BU6&lt;1*$U$21-0.000000001,1,0))</f>
        <v>0</v>
      </c>
      <c r="BZ6" s="15" t="n">
        <f aca="false">IFERROR(LARGE($AH$6:$AK$25,5),0)</f>
        <v>0</v>
      </c>
      <c r="CA6" s="15" t="n">
        <f aca="false">CA5+BZ6</f>
        <v>0</v>
      </c>
      <c r="CB6" s="15" t="n">
        <f aca="false">IFERROR(LARGE($AM$6:$AP$25,5),0)</f>
        <v>0</v>
      </c>
      <c r="CC6" s="15" t="n">
        <f aca="false">CC5+CB6</f>
        <v>0</v>
      </c>
    </row>
    <row r="7" customFormat="false" ht="37.5" hidden="false" customHeight="true" outlineLevel="0" collapsed="false">
      <c r="B7" s="21" t="s">
        <v>287</v>
      </c>
      <c r="C7" s="22"/>
      <c r="D7" s="23" t="s">
        <v>148</v>
      </c>
      <c r="E7" s="24"/>
      <c r="F7" s="24"/>
      <c r="G7" s="24"/>
      <c r="H7" s="24"/>
      <c r="I7" s="25"/>
      <c r="J7" s="24"/>
      <c r="L7" s="26" t="s">
        <v>152</v>
      </c>
      <c r="M7" s="28" t="str">
        <f aca="false">IF($U$4=0,"",$U$44)</f>
        <v/>
      </c>
      <c r="N7" s="29" t="s">
        <v>153</v>
      </c>
      <c r="T7" s="15" t="s">
        <v>154</v>
      </c>
      <c r="U7" s="15" t="n">
        <f aca="false">COUNT($AH$6:$AK$25)</f>
        <v>0</v>
      </c>
      <c r="V7" s="15" t="n">
        <f aca="false">COUNT($AM$6:$AP$25)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IF(BN7="","",IF(ISNUMBER($J$7),INT(((2*BN7+$J$7)/3*$U$21)+0.5+0.000000001),BN7*$U$21))</f>
        <v/>
      </c>
      <c r="BP7" s="15" t="n">
        <f aca="false">IF(BO7="",0,IF(BO7&gt;=5*$U$21-0.000000001,1,0))</f>
        <v>0</v>
      </c>
      <c r="BQ7" s="15" t="n">
        <f aca="false">IF(BO7="",0,IF(BO7&lt;0.000000001,1,0))</f>
        <v>0</v>
      </c>
      <c r="BR7" s="15" t="n">
        <f aca="false">IF(BO7="",0,IF(BO7&lt;1*$U$21-0.000000001,1,0))</f>
        <v>0</v>
      </c>
      <c r="BT7" s="15" t="n">
        <f aca="false">IF(ISNUMBER($I$7),$I$7,$U$3)</f>
        <v>7</v>
      </c>
      <c r="BU7" s="15" t="n">
        <f aca="false">IF(BT7="","",IF(ISNUMBER($J$7),INT(((2*BT7+$J$7)/3*$U$21)+0.5+0.000000001),BT7*$U$21))</f>
        <v>28</v>
      </c>
      <c r="BV7" s="15" t="n">
        <f aca="false">IF(BU7="",0,IF(BU7&gt;=5*$U$21-0.000000001,1,0))</f>
        <v>1</v>
      </c>
      <c r="BW7" s="15" t="n">
        <f aca="false">IF(BU7="",0,IF(BU7&lt;0.000000001,1,0))</f>
        <v>0</v>
      </c>
      <c r="BX7" s="15" t="n">
        <f aca="false">IF(BU7="",0,IF(BU7&lt;1*$U$21-0.000000001,1,0))</f>
        <v>0</v>
      </c>
      <c r="BZ7" s="15" t="n">
        <f aca="false">IFERROR(LARGE($AH$6:$AK$25,6),0)</f>
        <v>0</v>
      </c>
      <c r="CA7" s="15" t="n">
        <f aca="false">CA6+BZ7</f>
        <v>0</v>
      </c>
      <c r="CB7" s="15" t="n">
        <f aca="false">IFERROR(LARGE($AM$6:$AP$25,6),0)</f>
        <v>0</v>
      </c>
      <c r="CC7" s="15" t="n">
        <f aca="false">CC6+CB7</f>
        <v>0</v>
      </c>
    </row>
    <row r="8" customFormat="false" ht="37.5" hidden="false" customHeight="true" outlineLevel="0" collapsed="false">
      <c r="B8" s="21" t="s">
        <v>288</v>
      </c>
      <c r="C8" s="22"/>
      <c r="D8" s="23" t="s">
        <v>148</v>
      </c>
      <c r="E8" s="24"/>
      <c r="F8" s="24"/>
      <c r="G8" s="24"/>
      <c r="H8" s="24"/>
      <c r="I8" s="25"/>
      <c r="J8" s="24"/>
      <c r="L8" s="26" t="s">
        <v>156</v>
      </c>
      <c r="M8" s="28" t="str">
        <f aca="false">IF($U$4=0,"",$U$69)</f>
        <v/>
      </c>
      <c r="N8" s="29" t="s">
        <v>157</v>
      </c>
      <c r="T8" s="15" t="s">
        <v>158</v>
      </c>
      <c r="U8" s="15" t="n">
        <f aca="false">COUNTIF($AH$6:$AK$25,"&gt;=5")</f>
        <v>0</v>
      </c>
      <c r="V8" s="15" t="n">
        <f aca="false">COUNTIF($AM$6:$AP$25,"&gt;=5")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IF(BN8="","",IF(ISNUMBER($J$8),INT(((2*BN8+$J$8)/3*$U$21)+0.5+0.000000001),BN8*$U$21))</f>
        <v/>
      </c>
      <c r="BP8" s="15" t="n">
        <f aca="false">IF(BO8="",0,IF(BO8&gt;=5*$U$21-0.000000001,1,0))</f>
        <v>0</v>
      </c>
      <c r="BQ8" s="15" t="n">
        <f aca="false">IF(BO8="",0,IF(BO8&lt;0.000000001,1,0))</f>
        <v>0</v>
      </c>
      <c r="BR8" s="15" t="n">
        <f aca="false">IF(BO8="",0,IF(BO8&lt;1*$U$21-0.000000001,1,0))</f>
        <v>0</v>
      </c>
      <c r="BT8" s="15" t="n">
        <f aca="false">IF(ISNUMBER($I$8),$I$8,$U$3)</f>
        <v>7</v>
      </c>
      <c r="BU8" s="15" t="n">
        <f aca="false">IF(BT8="","",IF(ISNUMBER($J$8),INT(((2*BT8+$J$8)/3*$U$21)+0.5+0.000000001),BT8*$U$21))</f>
        <v>28</v>
      </c>
      <c r="BV8" s="15" t="n">
        <f aca="false">IF(BU8="",0,IF(BU8&gt;=5*$U$21-0.000000001,1,0))</f>
        <v>1</v>
      </c>
      <c r="BW8" s="15" t="n">
        <f aca="false">IF(BU8="",0,IF(BU8&lt;0.000000001,1,0))</f>
        <v>0</v>
      </c>
      <c r="BX8" s="15" t="n">
        <f aca="false">IF(BU8="",0,IF(BU8&lt;1*$U$21-0.000000001,1,0))</f>
        <v>0</v>
      </c>
      <c r="BZ8" s="15" t="n">
        <f aca="false">IFERROR(LARGE($AH$6:$AK$25,7),0)</f>
        <v>0</v>
      </c>
      <c r="CA8" s="15" t="n">
        <f aca="false">CA7+BZ8</f>
        <v>0</v>
      </c>
      <c r="CB8" s="15" t="n">
        <f aca="false">IFERROR(LARGE($AM$6:$AP$25,7),0)</f>
        <v>0</v>
      </c>
      <c r="CC8" s="15" t="n">
        <f aca="false">CC7+CB8</f>
        <v>0</v>
      </c>
    </row>
    <row r="9" customFormat="false" ht="37.5" hidden="false" customHeight="true" outlineLevel="0" collapsed="false">
      <c r="B9" s="21" t="s">
        <v>289</v>
      </c>
      <c r="C9" s="22"/>
      <c r="D9" s="23" t="s">
        <v>148</v>
      </c>
      <c r="E9" s="24"/>
      <c r="F9" s="24"/>
      <c r="G9" s="24"/>
      <c r="H9" s="24"/>
      <c r="I9" s="25"/>
      <c r="J9" s="30" t="s">
        <v>160</v>
      </c>
      <c r="L9" s="31" t="s">
        <v>161</v>
      </c>
      <c r="M9" s="32" t="str">
        <f aca="false">IF($U$4=0,"",$U$75)</f>
        <v/>
      </c>
      <c r="N9" s="29" t="s">
        <v>162</v>
      </c>
      <c r="T9" s="15" t="s">
        <v>163</v>
      </c>
      <c r="U9" s="15" t="n">
        <f aca="false">BA6+BA7+BA8</f>
        <v>0</v>
      </c>
      <c r="V9" s="15" t="n">
        <f aca="false">BI6+BI7+BI8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IF(BN9="","",BN9*$U$21)</f>
        <v/>
      </c>
      <c r="BP9" s="15" t="n">
        <f aca="false">IF(BO9="",0,IF(BO9&gt;=5*$U$21-0.000000001,1,0))</f>
        <v>0</v>
      </c>
      <c r="BQ9" s="15" t="n">
        <f aca="false">IF(BO9="",0,IF(BO9&lt;0.000000001,1,0))</f>
        <v>0</v>
      </c>
      <c r="BR9" s="15" t="n">
        <f aca="false">IF(BO9="",0,IF(BO9&lt;1*$U$21-0.000000001,1,0))</f>
        <v>0</v>
      </c>
      <c r="BT9" s="15" t="n">
        <f aca="false">IF(ISNUMBER($I$9),$I$9,$U$3)</f>
        <v>7</v>
      </c>
      <c r="BU9" s="15" t="n">
        <f aca="false">IF(BT9="","",BT9*$U$21)</f>
        <v>28</v>
      </c>
      <c r="BV9" s="15" t="n">
        <f aca="false">IF(BU9="",0,IF(BU9&gt;=5*$U$21-0.000000001,1,0))</f>
        <v>1</v>
      </c>
      <c r="BW9" s="15" t="n">
        <f aca="false">IF(BU9="",0,IF(BU9&lt;0.000000001,1,0))</f>
        <v>0</v>
      </c>
      <c r="BX9" s="15" t="n">
        <f aca="false">IF(BU9="",0,IF(BU9&lt;1*$U$21-0.000000001,1,0))</f>
        <v>0</v>
      </c>
      <c r="BZ9" s="15" t="n">
        <f aca="false">IFERROR(LARGE($AH$6:$AK$25,8),0)</f>
        <v>0</v>
      </c>
      <c r="CA9" s="15" t="n">
        <f aca="false">CA8+BZ9</f>
        <v>0</v>
      </c>
      <c r="CB9" s="15" t="n">
        <f aca="false">IFERROR(LARGE($AM$6:$AP$25,8),0)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21" t="s">
        <v>290</v>
      </c>
      <c r="C10" s="22"/>
      <c r="D10" s="23" t="s">
        <v>148</v>
      </c>
      <c r="E10" s="24"/>
      <c r="F10" s="24"/>
      <c r="G10" s="24"/>
      <c r="H10" s="24"/>
      <c r="I10" s="25"/>
      <c r="J10" s="30" t="s">
        <v>160</v>
      </c>
      <c r="L10" s="31" t="s">
        <v>165</v>
      </c>
      <c r="M10" s="33" t="str">
        <f aca="false">IF($U$4=0,"",IF($U$77=1,$U$78/10,"nicht bestanden"))</f>
        <v/>
      </c>
      <c r="N10" s="29"/>
      <c r="T10" s="15" t="s">
        <v>166</v>
      </c>
      <c r="U10" s="15" t="n">
        <f aca="false">BA9+BA10+SUM($AB$12:$AB$25)</f>
        <v>0</v>
      </c>
      <c r="V10" s="15" t="n">
        <f aca="false">BI9+BI10+SUM($AF$12:$AF$25)</f>
        <v>0</v>
      </c>
      <c r="AR10" s="15" t="n">
        <f aca="false">IF(ISNUMBER(E10),1,0)</f>
        <v>0</v>
      </c>
      <c r="AS10" s="15" t="n">
        <f aca="false">IF(ISNUMBER(F10),1,0)</f>
        <v>0</v>
      </c>
      <c r="AT10" s="15" t="n">
        <f aca="false">IF(ISNUMBER(G10),1,0)</f>
        <v>0</v>
      </c>
      <c r="AU10" s="15" t="n">
        <f aca="false">IF(ISNUMBER(H10),1,0)</f>
        <v>0</v>
      </c>
      <c r="AW10" s="15" t="n">
        <f aca="false">SUM(E10:G10)</f>
        <v>0</v>
      </c>
      <c r="AX10" s="15" t="n">
        <f aca="false">SUM(H10:H10)</f>
        <v>0</v>
      </c>
      <c r="AY10" s="15" t="n">
        <f aca="false">COUNT(E10:G10)</f>
        <v>0</v>
      </c>
      <c r="AZ10" s="15" t="n">
        <f aca="false">COUNT(H10:H10)</f>
        <v>0</v>
      </c>
      <c r="BA10" s="15" t="n">
        <f aca="false">COUNTIF(E10:H10,"&lt;5")</f>
        <v>0</v>
      </c>
      <c r="BB10" s="15" t="n">
        <f aca="false">COUNTIF(E10:H10,0)</f>
        <v>0</v>
      </c>
      <c r="BC10" s="15" t="n">
        <f aca="false">4-COUNT(E10:H10)</f>
        <v>4</v>
      </c>
      <c r="BD10" s="15" t="n">
        <f aca="false">SUM(E10:H10)</f>
        <v>0</v>
      </c>
      <c r="BE10" s="15" t="n">
        <f aca="false">SUM(E10:G10)+$U$2*(3-COUNT(E10:G10))</f>
        <v>21</v>
      </c>
      <c r="BF10" s="15" t="n">
        <f aca="false">SUM(H10:H10)+$U$2*(1-COUNT(H10:H10))</f>
        <v>7</v>
      </c>
      <c r="BG10" s="15" t="n">
        <f aca="false">3</f>
        <v>3</v>
      </c>
      <c r="BH10" s="15" t="n">
        <f aca="false">1</f>
        <v>1</v>
      </c>
      <c r="BI10" s="15" t="n">
        <f aca="false">COUNTIF(E10:H10,"&lt;5")+IF($U$2&lt;5,1,0)*(4-COUNT(E10:H10))</f>
        <v>0</v>
      </c>
      <c r="BJ10" s="15" t="n">
        <f aca="false">COUNTIF(E10:H10,0)</f>
        <v>0</v>
      </c>
      <c r="BK10" s="15" t="n">
        <f aca="false">0</f>
        <v>0</v>
      </c>
      <c r="BL10" s="15" t="n">
        <f aca="false">SUM(E10:H10)+$U$2*(4-COUNT(E10:H10))</f>
        <v>28</v>
      </c>
      <c r="BN10" s="15" t="str">
        <f aca="false">IF(ISNUMBER($I$10),$I$10,"")</f>
        <v/>
      </c>
      <c r="BO10" s="15" t="str">
        <f aca="false">IF(BN10="","",BN10*$U$21)</f>
        <v/>
      </c>
      <c r="BP10" s="15" t="n">
        <f aca="false">IF(BO10="",0,IF(BO10&gt;=5*$U$21-0.000000001,1,0))</f>
        <v>0</v>
      </c>
      <c r="BQ10" s="15" t="n">
        <f aca="false">IF(BO10="",0,IF(BO10&lt;0.000000001,1,0))</f>
        <v>0</v>
      </c>
      <c r="BR10" s="15" t="n">
        <f aca="false">IF(BO10="",0,IF(BO10&lt;1*$U$21-0.000000001,1,0))</f>
        <v>0</v>
      </c>
      <c r="BT10" s="15" t="n">
        <f aca="false">IF(ISNUMBER($I$10),$I$10,$U$3)</f>
        <v>7</v>
      </c>
      <c r="BU10" s="15" t="n">
        <f aca="false">IF(BT10="","",BT10*$U$21)</f>
        <v>28</v>
      </c>
      <c r="BV10" s="15" t="n">
        <f aca="false">IF(BU10="",0,IF(BU10&gt;=5*$U$21-0.000000001,1,0))</f>
        <v>1</v>
      </c>
      <c r="BW10" s="15" t="n">
        <f aca="false">IF(BU10="",0,IF(BU10&lt;0.000000001,1,0))</f>
        <v>0</v>
      </c>
      <c r="BX10" s="15" t="n">
        <f aca="false">IF(BU10="",0,IF(BU10&lt;1*$U$21-0.000000001,1,0))</f>
        <v>0</v>
      </c>
      <c r="BZ10" s="15" t="n">
        <f aca="false">IFERROR(LARGE($AH$6:$AK$25,9),0)</f>
        <v>0</v>
      </c>
      <c r="CA10" s="15" t="n">
        <f aca="false">CA9+BZ10</f>
        <v>0</v>
      </c>
      <c r="CB10" s="15" t="n">
        <f aca="false">IFERROR(LARGE($AM$6:$AP$25,9),0)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6" t="s">
        <v>167</v>
      </c>
      <c r="C11" s="6" t="s">
        <v>112</v>
      </c>
      <c r="D11" s="34" t="s">
        <v>168</v>
      </c>
      <c r="E11" s="35" t="s">
        <v>113</v>
      </c>
      <c r="F11" s="35" t="s">
        <v>114</v>
      </c>
      <c r="G11" s="35" t="s">
        <v>115</v>
      </c>
      <c r="H11" s="35" t="s">
        <v>116</v>
      </c>
      <c r="I11" s="20"/>
      <c r="J11" s="20"/>
      <c r="L11" s="26" t="s">
        <v>169</v>
      </c>
      <c r="M11" s="28" t="str">
        <f aca="false">IF($U$4=0,"",IF($U$79="","–",$U$79))</f>
        <v/>
      </c>
      <c r="N11" s="29" t="str">
        <f aca="false">IF($U$4=0,"",IF($U$78="","Punkte bis 300",IF($U$79="","Bestnote erreicht","Punkte → "&amp;FIXED(($U$78-1)/10,1))))</f>
        <v/>
      </c>
      <c r="T11" s="15" t="s">
        <v>170</v>
      </c>
      <c r="U11" s="15" t="n">
        <f aca="false">AW9+AW10+AX9+AX10+SUM($Z$12:$Z$25)</f>
        <v>0</v>
      </c>
      <c r="V11" s="15" t="n">
        <f aca="false">BE9+BE10+BF9+BF10+SUM($AD$12:$AD$25)</f>
        <v>56</v>
      </c>
      <c r="X11" s="15" t="s">
        <v>171</v>
      </c>
      <c r="Y11" s="15" t="s">
        <v>172</v>
      </c>
      <c r="Z11" s="15" t="s">
        <v>173</v>
      </c>
      <c r="AA11" s="15" t="s">
        <v>174</v>
      </c>
      <c r="AB11" s="15" t="s">
        <v>127</v>
      </c>
      <c r="AC11" s="15" t="s">
        <v>128</v>
      </c>
      <c r="AD11" s="15" t="s">
        <v>175</v>
      </c>
      <c r="AE11" s="15" t="s">
        <v>176</v>
      </c>
      <c r="AF11" s="15" t="s">
        <v>135</v>
      </c>
      <c r="BZ11" s="15" t="n">
        <f aca="false">IFERROR(LARGE($AH$6:$AK$25,10),0)</f>
        <v>0</v>
      </c>
      <c r="CA11" s="15" t="n">
        <f aca="false">CA10+BZ11</f>
        <v>0</v>
      </c>
      <c r="CB11" s="15" t="n">
        <f aca="false">IFERROR(LARGE($AM$6:$AP$25,10),0)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6" t="s">
        <v>177</v>
      </c>
      <c r="C12" s="37"/>
      <c r="D12" s="38"/>
      <c r="E12" s="24"/>
      <c r="F12" s="24"/>
      <c r="G12" s="24"/>
      <c r="H12" s="24"/>
      <c r="I12" s="39"/>
      <c r="J12" s="39"/>
      <c r="L12" s="26" t="s">
        <v>178</v>
      </c>
      <c r="M12" s="28" t="str">
        <f aca="false">IF(OR($U$4=0,$U$80=""),"",$U$80)</f>
        <v/>
      </c>
      <c r="N12" s="29" t="str">
        <f aca="false">IF(OR($U$4=0,$U$80=""),"","Punkte Luft")</f>
        <v/>
      </c>
      <c r="T12" s="15" t="s">
        <v>179</v>
      </c>
      <c r="U12" s="15" t="n">
        <f aca="false">BB6+BB7+BB8+BB9+BB10+SUM($AC$12:$AC$25)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IF(Y12=1,IF(ISNUMBER(E12),1,0),IF(AH12="",0,IF(IF($U$43=1,COUNTIF($AH$6:$AK$25,"&gt;"&amp;AH12),COUNTIF($AM$6:$AP$25,"&gt;"&amp;AH12))+COUNTIF($AH$6:$AK$11,AH12)+1&lt;=$U$53,1,0)))</f>
        <v>0</v>
      </c>
      <c r="AS12" s="15" t="n">
        <f aca="false">IF(Y12=1,IF(ISNUMBER(F12),1,0),IF(AI12="",0,IF(IF($U$43=1,COUNTIF($AH$6:$AK$25,"&gt;"&amp;AI12),COUNTIF($AM$6:$AP$25,"&gt;"&amp;AI12))+COUNTIF($AH$6:$AK$11,AI12)+COUNTIF($AH12:AH12,AI12)+1&lt;=$U$53,1,0)))</f>
        <v>0</v>
      </c>
      <c r="AT12" s="15" t="n">
        <f aca="false">IF(Y12=1,IF(ISNUMBER(G12),1,0),IF(AJ12="",0,IF(IF($U$43=1,COUNTIF($AH$6:$AK$25,"&gt;"&amp;AJ12),COUNTIF($AM$6:$AP$25,"&gt;"&amp;AJ12))+COUNTIF($AH$6:$AK$11,AJ12)+COUNTIF($AH12:AI12,AJ12)+1&lt;=$U$53,1,0)))</f>
        <v>0</v>
      </c>
      <c r="AU12" s="15" t="n">
        <f aca="false">IF(Y12=1,IF(ISNUMBER(H12),1,0),IF(AK12="",0,IF(IF($U$43=1,COUNTIF($AH$6:$AK$25,"&gt;"&amp;AK12),COUNTIF($AM$6:$AP$25,"&gt;"&amp;AK12))+COUNTIF($AH$6:$AK$11,AK12)+COUNTIF($AH12:AJ12,AK12)+1&lt;=$U$53,1,0)))</f>
        <v>0</v>
      </c>
      <c r="BZ12" s="15" t="n">
        <f aca="false">IFERROR(LARGE($AH$6:$AK$25,11),0)</f>
        <v>0</v>
      </c>
      <c r="CA12" s="15" t="n">
        <f aca="false">CA11+BZ12</f>
        <v>0</v>
      </c>
      <c r="CB12" s="15" t="n">
        <f aca="false">IFERROR(LARGE($AM$6:$AP$25,11),0)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180</v>
      </c>
      <c r="C13" s="37"/>
      <c r="D13" s="38"/>
      <c r="E13" s="24"/>
      <c r="F13" s="24"/>
      <c r="G13" s="24"/>
      <c r="H13" s="24"/>
      <c r="I13" s="39"/>
      <c r="J13" s="39"/>
      <c r="L13" s="26" t="s">
        <v>181</v>
      </c>
      <c r="M13" s="28" t="str">
        <f aca="false">IF($U$4=0,"",$U$45)</f>
        <v/>
      </c>
      <c r="N13" s="29" t="str">
        <f aca="false">IF($U$4=0,"","Summe der eingebrachten Punkte")</f>
        <v/>
      </c>
      <c r="T13" s="15" t="s">
        <v>291</v>
      </c>
      <c r="U13" s="15" t="str">
        <f aca="false">IF(ISNUMBER($E$27),$E$27,"")</f>
        <v/>
      </c>
      <c r="V13" s="15" t="n">
        <f aca="false">IF(ISNUMBER($E$27),$E$27,$U$2*30/15)</f>
        <v>14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IF(Y13=1,IF(ISNUMBER(E13),1,0),IF(AH13="",0,IF(IF($U$43=1,COUNTIF($AH$6:$AK$25,"&gt;"&amp;AH13),COUNTIF($AM$6:$AP$25,"&gt;"&amp;AH13))+COUNTIF($AH$6:$AK$12,AH13)+1&lt;=$U$53,1,0)))</f>
        <v>0</v>
      </c>
      <c r="AS13" s="15" t="n">
        <f aca="false">IF(Y13=1,IF(ISNUMBER(F13),1,0),IF(AI13="",0,IF(IF($U$43=1,COUNTIF($AH$6:$AK$25,"&gt;"&amp;AI13),COUNTIF($AM$6:$AP$25,"&gt;"&amp;AI13))+COUNTIF($AH$6:$AK$12,AI13)+COUNTIF($AH13:AH13,AI13)+1&lt;=$U$53,1,0)))</f>
        <v>0</v>
      </c>
      <c r="AT13" s="15" t="n">
        <f aca="false">IF(Y13=1,IF(ISNUMBER(G13),1,0),IF(AJ13="",0,IF(IF($U$43=1,COUNTIF($AH$6:$AK$25,"&gt;"&amp;AJ13),COUNTIF($AM$6:$AP$25,"&gt;"&amp;AJ13))+COUNTIF($AH$6:$AK$12,AJ13)+COUNTIF($AH13:AI13,AJ13)+1&lt;=$U$53,1,0)))</f>
        <v>0</v>
      </c>
      <c r="AU13" s="15" t="n">
        <f aca="false">IF(Y13=1,IF(ISNUMBER(H13),1,0),IF(AK13="",0,IF(IF($U$43=1,COUNTIF($AH$6:$AK$25,"&gt;"&amp;AK13),COUNTIF($AM$6:$AP$25,"&gt;"&amp;AK13))+COUNTIF($AH$6:$AK$12,AK13)+COUNTIF($AH13:AJ13,AK13)+1&lt;=$U$53,1,0)))</f>
        <v>0</v>
      </c>
      <c r="BZ13" s="15" t="n">
        <f aca="false">IFERROR(LARGE($AH$6:$AK$25,12),0)</f>
        <v>0</v>
      </c>
      <c r="CA13" s="15" t="n">
        <f aca="false">CA12+BZ13</f>
        <v>0</v>
      </c>
      <c r="CB13" s="15" t="n">
        <f aca="false">IFERROR(LARGE($AM$6:$AP$25,12),0)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183</v>
      </c>
      <c r="C14" s="37"/>
      <c r="D14" s="38"/>
      <c r="E14" s="24"/>
      <c r="F14" s="24"/>
      <c r="G14" s="24"/>
      <c r="H14" s="24"/>
      <c r="I14" s="39"/>
      <c r="J14" s="39"/>
      <c r="L14" s="26" t="s">
        <v>184</v>
      </c>
      <c r="M14" s="28" t="str">
        <f aca="false">IF($U$4=0,"",$U$46)</f>
        <v/>
      </c>
      <c r="N14" s="29" t="str">
        <f aca="false">IF($U$4=0,"","erlaubt: höchstens "&amp;$U$47)</f>
        <v/>
      </c>
      <c r="T14" s="15" t="s">
        <v>292</v>
      </c>
      <c r="U14" s="15" t="n">
        <f aca="false">IF(ISNUMBER($U$13),1,0)</f>
        <v>0</v>
      </c>
      <c r="V14" s="15" t="n">
        <f aca="false">IF(ISNUMBER($V$13),1,0)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IF(Y14=1,IF(ISNUMBER(E14),1,0),IF(AH14="",0,IF(IF($U$43=1,COUNTIF($AH$6:$AK$25,"&gt;"&amp;AH14),COUNTIF($AM$6:$AP$25,"&gt;"&amp;AH14))+COUNTIF($AH$6:$AK$13,AH14)+1&lt;=$U$53,1,0)))</f>
        <v>0</v>
      </c>
      <c r="AS14" s="15" t="n">
        <f aca="false">IF(Y14=1,IF(ISNUMBER(F14),1,0),IF(AI14="",0,IF(IF($U$43=1,COUNTIF($AH$6:$AK$25,"&gt;"&amp;AI14),COUNTIF($AM$6:$AP$25,"&gt;"&amp;AI14))+COUNTIF($AH$6:$AK$13,AI14)+COUNTIF($AH14:AH14,AI14)+1&lt;=$U$53,1,0)))</f>
        <v>0</v>
      </c>
      <c r="AT14" s="15" t="n">
        <f aca="false">IF(Y14=1,IF(ISNUMBER(G14),1,0),IF(AJ14="",0,IF(IF($U$43=1,COUNTIF($AH$6:$AK$25,"&gt;"&amp;AJ14),COUNTIF($AM$6:$AP$25,"&gt;"&amp;AJ14))+COUNTIF($AH$6:$AK$13,AJ14)+COUNTIF($AH14:AI14,AJ14)+1&lt;=$U$53,1,0)))</f>
        <v>0</v>
      </c>
      <c r="AU14" s="15" t="n">
        <f aca="false">IF(Y14=1,IF(ISNUMBER(H14),1,0),IF(AK14="",0,IF(IF($U$43=1,COUNTIF($AH$6:$AK$25,"&gt;"&amp;AK14),COUNTIF($AM$6:$AP$25,"&gt;"&amp;AK14))+COUNTIF($AH$6:$AK$13,AK14)+COUNTIF($AH14:AJ14,AK14)+1&lt;=$U$53,1,0)))</f>
        <v>0</v>
      </c>
      <c r="BZ14" s="15" t="n">
        <f aca="false">IFERROR(LARGE($AH$6:$AK$25,13),0)</f>
        <v>0</v>
      </c>
      <c r="CA14" s="15" t="n">
        <f aca="false">CA13+BZ14</f>
        <v>0</v>
      </c>
      <c r="CB14" s="15" t="n">
        <f aca="false">IFERROR(LARGE($AM$6:$AP$25,13),0)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186</v>
      </c>
      <c r="C15" s="37"/>
      <c r="D15" s="38"/>
      <c r="E15" s="24"/>
      <c r="F15" s="24"/>
      <c r="G15" s="24"/>
      <c r="H15" s="24"/>
      <c r="I15" s="39"/>
      <c r="J15" s="39"/>
      <c r="L15" s="26" t="s">
        <v>187</v>
      </c>
      <c r="M15" s="28" t="str">
        <f aca="false">IF($U$4=0,"","+"&amp;$U$21)</f>
        <v/>
      </c>
      <c r="N15" s="29" t="s">
        <v>188</v>
      </c>
      <c r="T15" s="15" t="s">
        <v>293</v>
      </c>
      <c r="U15" s="15" t="n">
        <f aca="false">1-$U$14</f>
        <v>1</v>
      </c>
      <c r="V15" s="15" t="n">
        <f aca="false">0</f>
        <v>0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IF(Y15=1,IF(ISNUMBER(E15),1,0),IF(AH15="",0,IF(IF($U$43=1,COUNTIF($AH$6:$AK$25,"&gt;"&amp;AH15),COUNTIF($AM$6:$AP$25,"&gt;"&amp;AH15))+COUNTIF($AH$6:$AK$14,AH15)+1&lt;=$U$53,1,0)))</f>
        <v>0</v>
      </c>
      <c r="AS15" s="15" t="n">
        <f aca="false">IF(Y15=1,IF(ISNUMBER(F15),1,0),IF(AI15="",0,IF(IF($U$43=1,COUNTIF($AH$6:$AK$25,"&gt;"&amp;AI15),COUNTIF($AM$6:$AP$25,"&gt;"&amp;AI15))+COUNTIF($AH$6:$AK$14,AI15)+COUNTIF($AH15:AH15,AI15)+1&lt;=$U$53,1,0)))</f>
        <v>0</v>
      </c>
      <c r="AT15" s="15" t="n">
        <f aca="false">IF(Y15=1,IF(ISNUMBER(G15),1,0),IF(AJ15="",0,IF(IF($U$43=1,COUNTIF($AH$6:$AK$25,"&gt;"&amp;AJ15),COUNTIF($AM$6:$AP$25,"&gt;"&amp;AJ15))+COUNTIF($AH$6:$AK$14,AJ15)+COUNTIF($AH15:AI15,AJ15)+1&lt;=$U$53,1,0)))</f>
        <v>0</v>
      </c>
      <c r="AU15" s="15" t="n">
        <f aca="false">IF(Y15=1,IF(ISNUMBER(H15),1,0),IF(AK15="",0,IF(IF($U$43=1,COUNTIF($AH$6:$AK$25,"&gt;"&amp;AK15),COUNTIF($AM$6:$AP$25,"&gt;"&amp;AK15))+COUNTIF($AH$6:$AK$14,AK15)+COUNTIF($AH15:AJ15,AK15)+1&lt;=$U$53,1,0)))</f>
        <v>0</v>
      </c>
      <c r="BZ15" s="15" t="n">
        <f aca="false">IFERROR(LARGE($AH$6:$AK$25,14),0)</f>
        <v>0</v>
      </c>
      <c r="CA15" s="15" t="n">
        <f aca="false">CA14+BZ15</f>
        <v>0</v>
      </c>
      <c r="CB15" s="15" t="n">
        <f aca="false">IFERROR(LARGE($AM$6:$AP$25,14),0)</f>
        <v>0</v>
      </c>
      <c r="CC15" s="15" t="n">
        <f aca="false">CC14+CB15</f>
        <v>0</v>
      </c>
    </row>
    <row r="16" customFormat="false" ht="22.35" hidden="false" customHeight="false" outlineLevel="0" collapsed="false">
      <c r="B16" s="36" t="s">
        <v>190</v>
      </c>
      <c r="C16" s="37"/>
      <c r="D16" s="38"/>
      <c r="E16" s="24"/>
      <c r="F16" s="24"/>
      <c r="G16" s="24"/>
      <c r="H16" s="24"/>
      <c r="I16" s="39"/>
      <c r="J16" s="39"/>
      <c r="L16" s="26" t="s">
        <v>191</v>
      </c>
      <c r="M16" s="28" t="str">
        <f aca="false">IF($U$4=0,"","+1")</f>
        <v/>
      </c>
      <c r="N16" s="29" t="s">
        <v>294</v>
      </c>
      <c r="T16" s="15" t="s">
        <v>295</v>
      </c>
      <c r="U16" s="15" t="n">
        <f aca="false">IF(AND($U$14=1,N($U$13)&lt;9),2,0)</f>
        <v>0</v>
      </c>
      <c r="V16" s="15" t="n">
        <f aca="false">IF(AND($V$14=1,N($V$13)&lt;9),2,0)</f>
        <v>0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IF(Y16=1,IF(ISNUMBER(E16),1,0),IF(AH16="",0,IF(IF($U$43=1,COUNTIF($AH$6:$AK$25,"&gt;"&amp;AH16),COUNTIF($AM$6:$AP$25,"&gt;"&amp;AH16))+COUNTIF($AH$6:$AK$15,AH16)+1&lt;=$U$53,1,0)))</f>
        <v>0</v>
      </c>
      <c r="AS16" s="15" t="n">
        <f aca="false">IF(Y16=1,IF(ISNUMBER(F16),1,0),IF(AI16="",0,IF(IF($U$43=1,COUNTIF($AH$6:$AK$25,"&gt;"&amp;AI16),COUNTIF($AM$6:$AP$25,"&gt;"&amp;AI16))+COUNTIF($AH$6:$AK$15,AI16)+COUNTIF($AH16:AH16,AI16)+1&lt;=$U$53,1,0)))</f>
        <v>0</v>
      </c>
      <c r="AT16" s="15" t="n">
        <f aca="false">IF(Y16=1,IF(ISNUMBER(G16),1,0),IF(AJ16="",0,IF(IF($U$43=1,COUNTIF($AH$6:$AK$25,"&gt;"&amp;AJ16),COUNTIF($AM$6:$AP$25,"&gt;"&amp;AJ16))+COUNTIF($AH$6:$AK$15,AJ16)+COUNTIF($AH16:AI16,AJ16)+1&lt;=$U$53,1,0)))</f>
        <v>0</v>
      </c>
      <c r="AU16" s="15" t="n">
        <f aca="false">IF(Y16=1,IF(ISNUMBER(H16),1,0),IF(AK16="",0,IF(IF($U$43=1,COUNTIF($AH$6:$AK$25,"&gt;"&amp;AK16),COUNTIF($AM$6:$AP$25,"&gt;"&amp;AK16))+COUNTIF($AH$6:$AK$15,AK16)+COUNTIF($AH16:AJ16,AK16)+1&lt;=$U$53,1,0)))</f>
        <v>0</v>
      </c>
      <c r="BZ16" s="15" t="n">
        <f aca="false">IFERROR(LARGE($AH$6:$AK$25,15),0)</f>
        <v>0</v>
      </c>
      <c r="CA16" s="15" t="n">
        <f aca="false">CA15+BZ16</f>
        <v>0</v>
      </c>
      <c r="CB16" s="15" t="n">
        <f aca="false">IFERROR(LARGE($AM$6:$AP$25,15),0)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194</v>
      </c>
      <c r="C17" s="37"/>
      <c r="D17" s="38"/>
      <c r="E17" s="24"/>
      <c r="F17" s="24"/>
      <c r="G17" s="24"/>
      <c r="H17" s="24"/>
      <c r="I17" s="39"/>
      <c r="J17" s="39"/>
      <c r="T17" s="15" t="s">
        <v>296</v>
      </c>
      <c r="U17" s="15" t="n">
        <f aca="false">BD6+BD7+BD8</f>
        <v>0</v>
      </c>
      <c r="V17" s="15" t="n">
        <f aca="false">BL6+BL7+BL8</f>
        <v>84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IF(Y17=1,IF(ISNUMBER(E17),1,0),IF(AH17="",0,IF(IF($U$43=1,COUNTIF($AH$6:$AK$25,"&gt;"&amp;AH17),COUNTIF($AM$6:$AP$25,"&gt;"&amp;AH17))+COUNTIF($AH$6:$AK$16,AH17)+1&lt;=$U$53,1,0)))</f>
        <v>0</v>
      </c>
      <c r="AS17" s="15" t="n">
        <f aca="false">IF(Y17=1,IF(ISNUMBER(F17),1,0),IF(AI17="",0,IF(IF($U$43=1,COUNTIF($AH$6:$AK$25,"&gt;"&amp;AI17),COUNTIF($AM$6:$AP$25,"&gt;"&amp;AI17))+COUNTIF($AH$6:$AK$16,AI17)+COUNTIF($AH17:AH17,AI17)+1&lt;=$U$53,1,0)))</f>
        <v>0</v>
      </c>
      <c r="AT17" s="15" t="n">
        <f aca="false">IF(Y17=1,IF(ISNUMBER(G17),1,0),IF(AJ17="",0,IF(IF($U$43=1,COUNTIF($AH$6:$AK$25,"&gt;"&amp;AJ17),COUNTIF($AM$6:$AP$25,"&gt;"&amp;AJ17))+COUNTIF($AH$6:$AK$16,AJ17)+COUNTIF($AH17:AI17,AJ17)+1&lt;=$U$53,1,0)))</f>
        <v>0</v>
      </c>
      <c r="AU17" s="15" t="n">
        <f aca="false">IF(Y17=1,IF(ISNUMBER(H17),1,0),IF(AK17="",0,IF(IF($U$43=1,COUNTIF($AH$6:$AK$25,"&gt;"&amp;AK17),COUNTIF($AM$6:$AP$25,"&gt;"&amp;AK17))+COUNTIF($AH$6:$AK$16,AK17)+COUNTIF($AH17:AJ17,AK17)+1&lt;=$U$53,1,0)))</f>
        <v>0</v>
      </c>
      <c r="BZ17" s="15" t="n">
        <f aca="false">IFERROR(LARGE($AH$6:$AK$25,16),0)</f>
        <v>0</v>
      </c>
      <c r="CA17" s="15" t="n">
        <f aca="false">CA16+BZ17</f>
        <v>0</v>
      </c>
      <c r="CB17" s="15" t="n">
        <f aca="false">IFERROR(LARGE($AM$6:$AP$25,16),0)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196</v>
      </c>
      <c r="C18" s="37"/>
      <c r="D18" s="38"/>
      <c r="E18" s="24"/>
      <c r="F18" s="24"/>
      <c r="G18" s="24"/>
      <c r="H18" s="24"/>
      <c r="I18" s="39"/>
      <c r="J18" s="39"/>
      <c r="L18" s="40" t="s">
        <v>197</v>
      </c>
      <c r="M18" s="41" t="s">
        <v>149</v>
      </c>
      <c r="N18" s="6" t="s">
        <v>198</v>
      </c>
      <c r="T18" s="15" t="s">
        <v>297</v>
      </c>
      <c r="U18" s="15" t="n">
        <f aca="false">BD6+BD7+BD8+BD9+BD10</f>
        <v>0</v>
      </c>
      <c r="V18" s="15" t="n">
        <f aca="false">BL6+BL7+BL8+BL9+BL10</f>
        <v>140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IF(Y18=1,IF(ISNUMBER(E18),1,0),IF(AH18="",0,IF(IF($U$43=1,COUNTIF($AH$6:$AK$25,"&gt;"&amp;AH18),COUNTIF($AM$6:$AP$25,"&gt;"&amp;AH18))+COUNTIF($AH$6:$AK$17,AH18)+1&lt;=$U$53,1,0)))</f>
        <v>0</v>
      </c>
      <c r="AS18" s="15" t="n">
        <f aca="false">IF(Y18=1,IF(ISNUMBER(F18),1,0),IF(AI18="",0,IF(IF($U$43=1,COUNTIF($AH$6:$AK$25,"&gt;"&amp;AI18),COUNTIF($AM$6:$AP$25,"&gt;"&amp;AI18))+COUNTIF($AH$6:$AK$17,AI18)+COUNTIF($AH18:AH18,AI18)+1&lt;=$U$53,1,0)))</f>
        <v>0</v>
      </c>
      <c r="AT18" s="15" t="n">
        <f aca="false">IF(Y18=1,IF(ISNUMBER(G18),1,0),IF(AJ18="",0,IF(IF($U$43=1,COUNTIF($AH$6:$AK$25,"&gt;"&amp;AJ18),COUNTIF($AM$6:$AP$25,"&gt;"&amp;AJ18))+COUNTIF($AH$6:$AK$17,AJ18)+COUNTIF($AH18:AI18,AJ18)+1&lt;=$U$53,1,0)))</f>
        <v>0</v>
      </c>
      <c r="AU18" s="15" t="n">
        <f aca="false">IF(Y18=1,IF(ISNUMBER(H18),1,0),IF(AK18="",0,IF(IF($U$43=1,COUNTIF($AH$6:$AK$25,"&gt;"&amp;AK18),COUNTIF($AM$6:$AP$25,"&gt;"&amp;AK18))+COUNTIF($AH$6:$AK$17,AK18)+COUNTIF($AH18:AJ18,AK18)+1&lt;=$U$53,1,0)))</f>
        <v>0</v>
      </c>
      <c r="BZ18" s="15" t="n">
        <f aca="false">IFERROR(LARGE($AH$6:$AK$25,17),0)</f>
        <v>0</v>
      </c>
      <c r="CA18" s="15" t="n">
        <f aca="false">CA17+BZ18</f>
        <v>0</v>
      </c>
      <c r="CB18" s="15" t="n">
        <f aca="false">IFERROR(LARGE($AM$6:$AP$25,17),0)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200</v>
      </c>
      <c r="C19" s="37"/>
      <c r="D19" s="38"/>
      <c r="E19" s="24"/>
      <c r="F19" s="24"/>
      <c r="G19" s="24"/>
      <c r="H19" s="24"/>
      <c r="I19" s="39"/>
      <c r="J19" s="39"/>
      <c r="L19" s="42" t="s">
        <v>201</v>
      </c>
      <c r="M19" s="43" t="str">
        <f aca="false">IF($U$4=0,"",IF($U$55=1,"✓ erfüllt","✗ nicht erfüllt"))</f>
        <v/>
      </c>
      <c r="N19" s="36" t="str">
        <f aca="false">IF($U$4=0,"",$U$44&amp;" Punkte")</f>
        <v/>
      </c>
      <c r="T19" s="15" t="s">
        <v>182</v>
      </c>
      <c r="U19" s="15" t="n">
        <f aca="false">MATCH(MAX($DH$3:$DH$3),$DH$3:$DH$3,0)</f>
        <v>1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IF(Y19=1,IF(ISNUMBER(E19),1,0),IF(AH19="",0,IF(IF($U$43=1,COUNTIF($AH$6:$AK$25,"&gt;"&amp;AH19),COUNTIF($AM$6:$AP$25,"&gt;"&amp;AH19))+COUNTIF($AH$6:$AK$18,AH19)+1&lt;=$U$53,1,0)))</f>
        <v>0</v>
      </c>
      <c r="AS19" s="15" t="n">
        <f aca="false">IF(Y19=1,IF(ISNUMBER(F19),1,0),IF(AI19="",0,IF(IF($U$43=1,COUNTIF($AH$6:$AK$25,"&gt;"&amp;AI19),COUNTIF($AM$6:$AP$25,"&gt;"&amp;AI19))+COUNTIF($AH$6:$AK$18,AI19)+COUNTIF($AH19:AH19,AI19)+1&lt;=$U$53,1,0)))</f>
        <v>0</v>
      </c>
      <c r="AT19" s="15" t="n">
        <f aca="false">IF(Y19=1,IF(ISNUMBER(G19),1,0),IF(AJ19="",0,IF(IF($U$43=1,COUNTIF($AH$6:$AK$25,"&gt;"&amp;AJ19),COUNTIF($AM$6:$AP$25,"&gt;"&amp;AJ19))+COUNTIF($AH$6:$AK$18,AJ19)+COUNTIF($AH19:AI19,AJ19)+1&lt;=$U$53,1,0)))</f>
        <v>0</v>
      </c>
      <c r="AU19" s="15" t="n">
        <f aca="false">IF(Y19=1,IF(ISNUMBER(H19),1,0),IF(AK19="",0,IF(IF($U$43=1,COUNTIF($AH$6:$AK$25,"&gt;"&amp;AK19),COUNTIF($AM$6:$AP$25,"&gt;"&amp;AK19))+COUNTIF($AH$6:$AK$18,AK19)+COUNTIF($AH19:AJ19,AK19)+1&lt;=$U$53,1,0)))</f>
        <v>0</v>
      </c>
      <c r="BZ19" s="15" t="n">
        <f aca="false">IFERROR(LARGE($AH$6:$AK$25,18),0)</f>
        <v>0</v>
      </c>
      <c r="CA19" s="15" t="n">
        <f aca="false">CA18+BZ19</f>
        <v>0</v>
      </c>
      <c r="CB19" s="15" t="n">
        <f aca="false">IFERROR(LARGE($AM$6:$AP$25,18),0)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203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"&amp;$U$47&amp;" Unterkurse (unter 5 Punkten)"</f>
        <v>Höchstens 8 Unterkurse (unter 5 Punkten)</v>
      </c>
      <c r="M20" s="43" t="str">
        <f aca="false">IF($U$4=0,"",IF($U$56=1,"✓ erfüllt","✗ nicht erfüllt"))</f>
        <v/>
      </c>
      <c r="N20" s="36" t="str">
        <f aca="false">IF($U$4=0,"",$U$46&amp;" Unterkurse")</f>
        <v/>
      </c>
      <c r="T20" s="15" t="s">
        <v>185</v>
      </c>
      <c r="U20" s="15" t="n">
        <f aca="false">MATCH(MAX($DH$23:$DH$23),$DH$23:$DH$23,0)</f>
        <v>1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IF(Y20=1,IF(ISNUMBER(E20),1,0),IF(AH20="",0,IF(IF($U$43=1,COUNTIF($AH$6:$AK$25,"&gt;"&amp;AH20),COUNTIF($AM$6:$AP$25,"&gt;"&amp;AH20))+COUNTIF($AH$6:$AK$19,AH20)+1&lt;=$U$53,1,0)))</f>
        <v>0</v>
      </c>
      <c r="AS20" s="15" t="n">
        <f aca="false">IF(Y20=1,IF(ISNUMBER(F20),1,0),IF(AI20="",0,IF(IF($U$43=1,COUNTIF($AH$6:$AK$25,"&gt;"&amp;AI20),COUNTIF($AM$6:$AP$25,"&gt;"&amp;AI20))+COUNTIF($AH$6:$AK$19,AI20)+COUNTIF($AH20:AH20,AI20)+1&lt;=$U$53,1,0)))</f>
        <v>0</v>
      </c>
      <c r="AT20" s="15" t="n">
        <f aca="false">IF(Y20=1,IF(ISNUMBER(G20),1,0),IF(AJ20="",0,IF(IF($U$43=1,COUNTIF($AH$6:$AK$25,"&gt;"&amp;AJ20),COUNTIF($AM$6:$AP$25,"&gt;"&amp;AJ20))+COUNTIF($AH$6:$AK$19,AJ20)+COUNTIF($AH20:AI20,AJ20)+1&lt;=$U$53,1,0)))</f>
        <v>0</v>
      </c>
      <c r="AU20" s="15" t="n">
        <f aca="false">IF(Y20=1,IF(ISNUMBER(H20),1,0),IF(AK20="",0,IF(IF($U$43=1,COUNTIF($AH$6:$AK$25,"&gt;"&amp;AK20),COUNTIF($AM$6:$AP$25,"&gt;"&amp;AK20))+COUNTIF($AH$6:$AK$19,AK20)+COUNTIF($AH20:AJ20,AK20)+1&lt;=$U$53,1,0)))</f>
        <v>0</v>
      </c>
      <c r="BZ20" s="15" t="n">
        <f aca="false">IFERROR(LARGE($AH$6:$AK$25,19),0)</f>
        <v>0</v>
      </c>
      <c r="CA20" s="15" t="n">
        <f aca="false">CA19+BZ20</f>
        <v>0</v>
      </c>
      <c r="CB20" s="15" t="n">
        <f aca="false">IFERROR(LARGE($AM$6:$AP$25,19),0)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205</v>
      </c>
      <c r="C21" s="37"/>
      <c r="D21" s="38"/>
      <c r="E21" s="24"/>
      <c r="F21" s="24"/>
      <c r="G21" s="24"/>
      <c r="H21" s="24"/>
      <c r="I21" s="39"/>
      <c r="J21" s="39"/>
      <c r="L21" s="42" t="s">
        <v>209</v>
      </c>
      <c r="M21" s="43" t="str">
        <f aca="false">IF($U$4=0,"",IF($U$61=1,"✓ erfüllt","✗ nicht erfüllt"))</f>
        <v/>
      </c>
      <c r="N21" s="36" t="str">
        <f aca="false">IF($U$4=0,"",$U$12&amp;" mit 0 Punkten")</f>
        <v/>
      </c>
      <c r="T21" s="15" t="s">
        <v>189</v>
      </c>
      <c r="U21" s="15" t="n">
        <f aca="false">4</f>
        <v>4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IF(Y21=1,IF(ISNUMBER(E21),1,0),IF(AH21="",0,IF(IF($U$43=1,COUNTIF($AH$6:$AK$25,"&gt;"&amp;AH21),COUNTIF($AM$6:$AP$25,"&gt;"&amp;AH21))+COUNTIF($AH$6:$AK$20,AH21)+1&lt;=$U$53,1,0)))</f>
        <v>0</v>
      </c>
      <c r="AS21" s="15" t="n">
        <f aca="false">IF(Y21=1,IF(ISNUMBER(F21),1,0),IF(AI21="",0,IF(IF($U$43=1,COUNTIF($AH$6:$AK$25,"&gt;"&amp;AI21),COUNTIF($AM$6:$AP$25,"&gt;"&amp;AI21))+COUNTIF($AH$6:$AK$20,AI21)+COUNTIF($AH21:AH21,AI21)+1&lt;=$U$53,1,0)))</f>
        <v>0</v>
      </c>
      <c r="AT21" s="15" t="n">
        <f aca="false">IF(Y21=1,IF(ISNUMBER(G21),1,0),IF(AJ21="",0,IF(IF($U$43=1,COUNTIF($AH$6:$AK$25,"&gt;"&amp;AJ21),COUNTIF($AM$6:$AP$25,"&gt;"&amp;AJ21))+COUNTIF($AH$6:$AK$20,AJ21)+COUNTIF($AH21:AI21,AJ21)+1&lt;=$U$53,1,0)))</f>
        <v>0</v>
      </c>
      <c r="AU21" s="15" t="n">
        <f aca="false">IF(Y21=1,IF(ISNUMBER(H21),1,0),IF(AK21="",0,IF(IF($U$43=1,COUNTIF($AH$6:$AK$25,"&gt;"&amp;AK21),COUNTIF($AM$6:$AP$25,"&gt;"&amp;AK21))+COUNTIF($AH$6:$AK$20,AK21)+COUNTIF($AH21:AJ21,AK21)+1&lt;=$U$53,1,0)))</f>
        <v>0</v>
      </c>
      <c r="BZ21" s="15" t="n">
        <f aca="false">IFERROR(LARGE($AH$6:$AK$25,20),0)</f>
        <v>0</v>
      </c>
      <c r="CA21" s="15" t="n">
        <f aca="false">CA20+BZ21</f>
        <v>0</v>
      </c>
      <c r="CB21" s="15" t="n">
        <f aca="false">IFERROR(LARGE($AM$6:$AP$25,20),0)</f>
        <v>0</v>
      </c>
      <c r="CC21" s="15" t="n">
        <f aca="false">CC20+CB21</f>
        <v>0</v>
      </c>
    </row>
    <row r="22" customFormat="false" ht="22.35" hidden="false" customHeight="false" outlineLevel="0" collapsed="false">
      <c r="B22" s="36" t="s">
        <v>208</v>
      </c>
      <c r="C22" s="37"/>
      <c r="D22" s="38"/>
      <c r="E22" s="24"/>
      <c r="F22" s="24"/>
      <c r="G22" s="24"/>
      <c r="H22" s="24"/>
      <c r="I22" s="39"/>
      <c r="J22" s="39"/>
      <c r="L22" s="42" t="s">
        <v>298</v>
      </c>
      <c r="M22" s="43" t="str">
        <f aca="false">IF($U$4=0,"",IF($U$62=1,"✓ erfüllt","✗ nicht erfüllt"))</f>
        <v/>
      </c>
      <c r="N22" s="36" t="str">
        <f aca="false">IF($U$4=0,"",ROUND($U$67,0)&amp;" Punkte")</f>
        <v/>
      </c>
      <c r="T22" s="15" t="s">
        <v>193</v>
      </c>
      <c r="U22" s="15" t="n">
        <f aca="false">MIN(300,INT((SUM(BO6,BO7,BO8,BO9,BO10))+0.5+0.000000001))</f>
        <v>0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IF(Y22=1,IF(ISNUMBER(E22),1,0),IF(AH22="",0,IF(IF($U$43=1,COUNTIF($AH$6:$AK$25,"&gt;"&amp;AH22),COUNTIF($AM$6:$AP$25,"&gt;"&amp;AH22))+COUNTIF($AH$6:$AK$21,AH22)+1&lt;=$U$53,1,0)))</f>
        <v>0</v>
      </c>
      <c r="AS22" s="15" t="n">
        <f aca="false">IF(Y22=1,IF(ISNUMBER(F22),1,0),IF(AI22="",0,IF(IF($U$43=1,COUNTIF($AH$6:$AK$25,"&gt;"&amp;AI22),COUNTIF($AM$6:$AP$25,"&gt;"&amp;AI22))+COUNTIF($AH$6:$AK$21,AI22)+COUNTIF($AH22:AH22,AI22)+1&lt;=$U$53,1,0)))</f>
        <v>0</v>
      </c>
      <c r="AT22" s="15" t="n">
        <f aca="false">IF(Y22=1,IF(ISNUMBER(G22),1,0),IF(AJ22="",0,IF(IF($U$43=1,COUNTIF($AH$6:$AK$25,"&gt;"&amp;AJ22),COUNTIF($AM$6:$AP$25,"&gt;"&amp;AJ22))+COUNTIF($AH$6:$AK$21,AJ22)+COUNTIF($AH22:AI22,AJ22)+1&lt;=$U$53,1,0)))</f>
        <v>0</v>
      </c>
      <c r="AU22" s="15" t="n">
        <f aca="false">IF(Y22=1,IF(ISNUMBER(H22),1,0),IF(AK22="",0,IF(IF($U$43=1,COUNTIF($AH$6:$AK$25,"&gt;"&amp;AK22),COUNTIF($AM$6:$AP$25,"&gt;"&amp;AK22))+COUNTIF($AH$6:$AK$21,AK22)+COUNTIF($AH22:AJ22,AK22)+1&lt;=$U$53,1,0)))</f>
        <v>0</v>
      </c>
      <c r="BZ22" s="15" t="n">
        <f aca="false">IFERROR(LARGE($AH$6:$AK$25,21),0)</f>
        <v>0</v>
      </c>
      <c r="CA22" s="15" t="n">
        <f aca="false">CA21+BZ22</f>
        <v>0</v>
      </c>
      <c r="CB22" s="15" t="n">
        <f aca="false">IFERROR(LARGE($AM$6:$AP$25,21),0)</f>
        <v>0</v>
      </c>
      <c r="CC22" s="15" t="n">
        <f aca="false">CC21+CB22</f>
        <v>0</v>
      </c>
      <c r="CE22" s="15" t="s">
        <v>79</v>
      </c>
      <c r="CF22" s="15" t="s">
        <v>80</v>
      </c>
      <c r="CG22" s="15" t="s">
        <v>81</v>
      </c>
      <c r="CH22" s="15" t="s">
        <v>82</v>
      </c>
      <c r="CI22" s="15" t="s">
        <v>83</v>
      </c>
      <c r="CJ22" s="15" t="s">
        <v>84</v>
      </c>
      <c r="CK22" s="15" t="s">
        <v>85</v>
      </c>
      <c r="CL22" s="15" t="s">
        <v>86</v>
      </c>
      <c r="CM22" s="15" t="s">
        <v>87</v>
      </c>
      <c r="CN22" s="15" t="s">
        <v>88</v>
      </c>
      <c r="CO22" s="15" t="s">
        <v>89</v>
      </c>
      <c r="CP22" s="15" t="s">
        <v>90</v>
      </c>
      <c r="CQ22" s="15" t="s">
        <v>91</v>
      </c>
      <c r="CR22" s="15" t="s">
        <v>92</v>
      </c>
      <c r="CS22" s="15" t="s">
        <v>93</v>
      </c>
      <c r="CT22" s="15" t="s">
        <v>94</v>
      </c>
      <c r="CU22" s="15" t="s">
        <v>95</v>
      </c>
      <c r="CV22" s="15" t="s">
        <v>96</v>
      </c>
      <c r="CW22" s="15" t="s">
        <v>97</v>
      </c>
      <c r="CX22" s="15" t="s">
        <v>98</v>
      </c>
      <c r="CY22" s="15" t="s">
        <v>99</v>
      </c>
      <c r="CZ22" s="15" t="s">
        <v>100</v>
      </c>
      <c r="DA22" s="15" t="s">
        <v>101</v>
      </c>
      <c r="DB22" s="15" t="s">
        <v>102</v>
      </c>
      <c r="DC22" s="15" t="s">
        <v>103</v>
      </c>
      <c r="DD22" s="15" t="s">
        <v>104</v>
      </c>
      <c r="DE22" s="15" t="s">
        <v>105</v>
      </c>
      <c r="DF22" s="15" t="s">
        <v>106</v>
      </c>
      <c r="DG22" s="15" t="s">
        <v>107</v>
      </c>
      <c r="DH22" s="15" t="s">
        <v>108</v>
      </c>
    </row>
    <row r="23" customFormat="false" ht="22.35" hidden="false" customHeight="false" outlineLevel="0" collapsed="false">
      <c r="B23" s="36" t="s">
        <v>211</v>
      </c>
      <c r="C23" s="37"/>
      <c r="D23" s="38"/>
      <c r="E23" s="24"/>
      <c r="F23" s="24"/>
      <c r="G23" s="24"/>
      <c r="H23" s="24"/>
      <c r="I23" s="39"/>
      <c r="J23" s="39"/>
      <c r="L23" s="42" t="s">
        <v>299</v>
      </c>
      <c r="M23" s="43" t="str">
        <f aca="false">IF($U$4=0,"",IF($U$63=1,"✓ erfüllt","✗ nicht erfüllt"))</f>
        <v/>
      </c>
      <c r="N23" s="36" t="str">
        <f aca="false">IF($U$4=0,"",ROUND($U$68,0)&amp;" Punkte")</f>
        <v/>
      </c>
      <c r="T23" s="15" t="s">
        <v>195</v>
      </c>
      <c r="U23" s="15" t="n">
        <f aca="false">SUM(BP6,BP7,BP8,BP9,BP10)</f>
        <v>0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IF(Y23=1,IF(ISNUMBER(E23),1,0),IF(AH23="",0,IF(IF($U$43=1,COUNTIF($AH$6:$AK$25,"&gt;"&amp;AH23),COUNTIF($AM$6:$AP$25,"&gt;"&amp;AH23))+COUNTIF($AH$6:$AK$22,AH23)+1&lt;=$U$53,1,0)))</f>
        <v>0</v>
      </c>
      <c r="AS23" s="15" t="n">
        <f aca="false">IF(Y23=1,IF(ISNUMBER(F23),1,0),IF(AI23="",0,IF(IF($U$43=1,COUNTIF($AH$6:$AK$25,"&gt;"&amp;AI23),COUNTIF($AM$6:$AP$25,"&gt;"&amp;AI23))+COUNTIF($AH$6:$AK$22,AI23)+COUNTIF($AH23:AH23,AI23)+1&lt;=$U$53,1,0)))</f>
        <v>0</v>
      </c>
      <c r="AT23" s="15" t="n">
        <f aca="false">IF(Y23=1,IF(ISNUMBER(G23),1,0),IF(AJ23="",0,IF(IF($U$43=1,COUNTIF($AH$6:$AK$25,"&gt;"&amp;AJ23),COUNTIF($AM$6:$AP$25,"&gt;"&amp;AJ23))+COUNTIF($AH$6:$AK$22,AJ23)+COUNTIF($AH23:AI23,AJ23)+1&lt;=$U$53,1,0)))</f>
        <v>0</v>
      </c>
      <c r="AU23" s="15" t="n">
        <f aca="false">IF(Y23=1,IF(ISNUMBER(H23),1,0),IF(AK23="",0,IF(IF($U$43=1,COUNTIF($AH$6:$AK$25,"&gt;"&amp;AK23),COUNTIF($AM$6:$AP$25,"&gt;"&amp;AK23))+COUNTIF($AH$6:$AK$22,AK23)+COUNTIF($AH23:AJ23,AK23)+1&lt;=$U$53,1,0)))</f>
        <v>0</v>
      </c>
      <c r="BZ23" s="15" t="n">
        <f aca="false">IFERROR(LARGE($AH$6:$AK$25,22),0)</f>
        <v>0</v>
      </c>
      <c r="CA23" s="15" t="n">
        <f aca="false">CA22+BZ23</f>
        <v>0</v>
      </c>
      <c r="CB23" s="15" t="n">
        <f aca="false">IFERROR(LARGE($AM$6:$AP$25,22),0)</f>
        <v>0</v>
      </c>
      <c r="CC23" s="15" t="n">
        <f aca="false">CC22+CB23</f>
        <v>0</v>
      </c>
      <c r="CE23" s="15" t="n">
        <f aca="false">40</f>
        <v>40</v>
      </c>
      <c r="CF23" s="15" t="n">
        <f aca="false">CE23-$V$5-$V$6-2</f>
        <v>18</v>
      </c>
      <c r="CG23" s="15" t="n">
        <f aca="false">MAX(0,CF23)</f>
        <v>18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18</v>
      </c>
      <c r="CK23" s="15" t="n">
        <f aca="false">$V$5+CH23+CJ23+$V$14*2</f>
        <v>40</v>
      </c>
      <c r="CL23" s="15" t="n">
        <f aca="false">1*BE6+1*BF6+1*BE7+1*BF7+1*BE8+1*BF8</f>
        <v>84</v>
      </c>
      <c r="CM23" s="15" t="n">
        <f aca="false">1*BG6+1*BH6+1*BG7+1*BH7+1*BG8+1*BH8+1*BG9+1*BH9+1*BG10+1*BH10+SUM($AE$12:$AE$25)</f>
        <v>20</v>
      </c>
      <c r="CN23" s="15" t="n">
        <f aca="false">IF(CH23=0,0,INDEX($CC$2:$CC$57,CH23))</f>
        <v>0</v>
      </c>
      <c r="CO23" s="15" t="n">
        <f aca="false">CL23+$V$11+CN23+CJ23*$U$2+IF($V$14=1,$V$13*1,0)</f>
        <v>280</v>
      </c>
      <c r="CP23" s="15" t="n">
        <f aca="false">CM23+CH23+CJ23+$V$14*2</f>
        <v>40</v>
      </c>
      <c r="CQ23" s="15" t="n">
        <f aca="false">MIN(600,INT((CO23)+0.5+0.000000001))</f>
        <v>280</v>
      </c>
      <c r="CR23" s="15" t="n">
        <f aca="false">$V$9+CT23+$V$16</f>
        <v>0</v>
      </c>
      <c r="CS23" s="15" t="n">
        <f aca="false">8</f>
        <v>8</v>
      </c>
      <c r="CT23" s="15" t="n">
        <f aca="false">$V$10+MAX(0,CH23-$V$8)+CJ23*IF($U$2&lt;5,1,0)</f>
        <v>0</v>
      </c>
      <c r="CU23" s="15" t="n">
        <f aca="false">$V$11+CN23+CJ23*$U$2</f>
        <v>182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1</f>
        <v>1</v>
      </c>
      <c r="CY23" s="15" t="n">
        <f aca="false">1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IF($V$17&gt;=48,1,0)</f>
        <v>1</v>
      </c>
      <c r="DD23" s="15" t="n">
        <f aca="false">IF($V$18&gt;=100,1,0)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1028060</v>
      </c>
    </row>
    <row r="24" customFormat="false" ht="22.35" hidden="false" customHeight="false" outlineLevel="0" collapsed="false">
      <c r="B24" s="36" t="s">
        <v>214</v>
      </c>
      <c r="C24" s="37"/>
      <c r="D24" s="38"/>
      <c r="E24" s="24"/>
      <c r="F24" s="24"/>
      <c r="G24" s="24"/>
      <c r="H24" s="24"/>
      <c r="I24" s="39"/>
      <c r="J24" s="39"/>
      <c r="L24" s="42" t="s">
        <v>212</v>
      </c>
      <c r="M24" s="43" t="str">
        <f aca="false">IF($U$4=0,"",IF($U$64=1,"✓ erfüllt","✗ nicht erfüllt"))</f>
        <v/>
      </c>
      <c r="N24" s="36"/>
      <c r="T24" s="15" t="s">
        <v>199</v>
      </c>
      <c r="U24" s="15" t="n">
        <f aca="false">BP6+BP7+BP8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IF(Y24=1,IF(ISNUMBER(E24),1,0),IF(AH24="",0,IF(IF($U$43=1,COUNTIF($AH$6:$AK$25,"&gt;"&amp;AH24),COUNTIF($AM$6:$AP$25,"&gt;"&amp;AH24))+COUNTIF($AH$6:$AK$23,AH24)+1&lt;=$U$53,1,0)))</f>
        <v>0</v>
      </c>
      <c r="AS24" s="15" t="n">
        <f aca="false">IF(Y24=1,IF(ISNUMBER(F24),1,0),IF(AI24="",0,IF(IF($U$43=1,COUNTIF($AH$6:$AK$25,"&gt;"&amp;AI24),COUNTIF($AM$6:$AP$25,"&gt;"&amp;AI24))+COUNTIF($AH$6:$AK$23,AI24)+COUNTIF($AH24:AH24,AI24)+1&lt;=$U$53,1,0)))</f>
        <v>0</v>
      </c>
      <c r="AT24" s="15" t="n">
        <f aca="false">IF(Y24=1,IF(ISNUMBER(G24),1,0),IF(AJ24="",0,IF(IF($U$43=1,COUNTIF($AH$6:$AK$25,"&gt;"&amp;AJ24),COUNTIF($AM$6:$AP$25,"&gt;"&amp;AJ24))+COUNTIF($AH$6:$AK$23,AJ24)+COUNTIF($AH24:AI24,AJ24)+1&lt;=$U$53,1,0)))</f>
        <v>0</v>
      </c>
      <c r="AU24" s="15" t="n">
        <f aca="false">IF(Y24=1,IF(ISNUMBER(H24),1,0),IF(AK24="",0,IF(IF($U$43=1,COUNTIF($AH$6:$AK$25,"&gt;"&amp;AK24),COUNTIF($AM$6:$AP$25,"&gt;"&amp;AK24))+COUNTIF($AH$6:$AK$23,AK24)+COUNTIF($AH24:AJ24,AK24)+1&lt;=$U$53,1,0)))</f>
        <v>0</v>
      </c>
      <c r="BZ24" s="15" t="n">
        <f aca="false">IFERROR(LARGE($AH$6:$AK$25,23),0)</f>
        <v>0</v>
      </c>
      <c r="CA24" s="15" t="n">
        <f aca="false">CA23+BZ24</f>
        <v>0</v>
      </c>
      <c r="CB24" s="15" t="n">
        <f aca="false">IFERROR(LARGE($AM$6:$AP$25,23),0)</f>
        <v>0</v>
      </c>
      <c r="CC24" s="15" t="n">
        <f aca="false">CC23+CB24</f>
        <v>0</v>
      </c>
    </row>
    <row r="25" customFormat="false" ht="15" hidden="false" customHeight="false" outlineLevel="0" collapsed="false">
      <c r="B25" s="36" t="s">
        <v>217</v>
      </c>
      <c r="C25" s="37"/>
      <c r="D25" s="38"/>
      <c r="E25" s="24"/>
      <c r="F25" s="24"/>
      <c r="G25" s="24"/>
      <c r="H25" s="24"/>
      <c r="I25" s="39"/>
      <c r="J25" s="39"/>
      <c r="L25" s="42" t="s">
        <v>215</v>
      </c>
      <c r="M25" s="43" t="str">
        <f aca="false">IF($U$4=0,"",IF($U$71=1,"✓ erfüllt","✗ nicht erfüllt"))</f>
        <v/>
      </c>
      <c r="N25" s="36" t="str">
        <f aca="false">IF($U$4=0,"",$U$69&amp;" Punkte")</f>
        <v/>
      </c>
      <c r="T25" s="15" t="s">
        <v>202</v>
      </c>
      <c r="U25" s="15" t="n">
        <f aca="false">BQ6+BQ7+BQ8+BQ9+BQ10</f>
        <v>0</v>
      </c>
      <c r="X25" s="15" t="n">
        <f aca="false">IF(OR(LEN(TRIM(C25))&gt;0,COUNT(E25:H25)&gt;0),1,0)</f>
        <v>0</v>
      </c>
      <c r="Y25" s="15" t="n">
        <f aca="false">IF(LEN(TRIM(D25))&gt;0,1,0)</f>
        <v>0</v>
      </c>
      <c r="Z25" s="15" t="n">
        <f aca="false">Y25*SUM(E25:H25)</f>
        <v>0</v>
      </c>
      <c r="AA25" s="15" t="n">
        <f aca="false">Y25*COUNT(E25:H25)</f>
        <v>0</v>
      </c>
      <c r="AB25" s="15" t="n">
        <f aca="false">Y25*COUNTIF(E25:H25,"&lt;5")</f>
        <v>0</v>
      </c>
      <c r="AC25" s="15" t="n">
        <f aca="false">Y25*COUNTIF(E25:H25,0)</f>
        <v>0</v>
      </c>
      <c r="AD25" s="15" t="n">
        <f aca="false">Y25*(SUM(E25:H25)+X25*$U$2*(4-COUNT(E25:H25)))</f>
        <v>0</v>
      </c>
      <c r="AE25" s="15" t="n">
        <f aca="false">Y25*(COUNT(E25:H25)+X25*(4-COUNT(E25:H25)))</f>
        <v>0</v>
      </c>
      <c r="AF25" s="15" t="n">
        <f aca="false">Y25*(COUNTIF(E25:H25,"&lt;5")+X25*IF($U$2&lt;5,1,0)*(4-COUNT(E25:H25)))</f>
        <v>0</v>
      </c>
      <c r="AH25" s="15" t="str">
        <f aca="false">IF(Y25=1,"",IF(ISNUMBER(E25),IF(E25=0,"",E25),""))</f>
        <v/>
      </c>
      <c r="AI25" s="15" t="str">
        <f aca="false">IF(Y25=1,"",IF(ISNUMBER(F25),IF(F25=0,"",F25),""))</f>
        <v/>
      </c>
      <c r="AJ25" s="15" t="str">
        <f aca="false">IF(Y25=1,"",IF(ISNUMBER(G25),IF(G25=0,"",G25),""))</f>
        <v/>
      </c>
      <c r="AK25" s="15" t="str">
        <f aca="false">IF(Y25=1,"",IF(ISNUMBER(H25),IF(H25=0,"",H25),""))</f>
        <v/>
      </c>
      <c r="AM25" s="15" t="str">
        <f aca="false">IF(Y25=1,"",IF(ISNUMBER(E25),IF(E25=0,"",E25),IF(X25=1,$U$2,"")))</f>
        <v/>
      </c>
      <c r="AN25" s="15" t="str">
        <f aca="false">IF(Y25=1,"",IF(ISNUMBER(F25),IF(F25=0,"",F25),IF(X25=1,$U$2,"")))</f>
        <v/>
      </c>
      <c r="AO25" s="15" t="str">
        <f aca="false">IF(Y25=1,"",IF(ISNUMBER(G25),IF(G25=0,"",G25),IF(X25=1,$U$2,"")))</f>
        <v/>
      </c>
      <c r="AP25" s="15" t="str">
        <f aca="false">IF(Y25=1,"",IF(ISNUMBER(H25),IF(H25=0,"",H25),IF(X25=1,$U$2,"")))</f>
        <v/>
      </c>
      <c r="AR25" s="15" t="n">
        <f aca="false">IF(Y25=1,IF(ISNUMBER(E25),1,0),IF(AH25="",0,IF(IF($U$43=1,COUNTIF($AH$6:$AK$25,"&gt;"&amp;AH25),COUNTIF($AM$6:$AP$25,"&gt;"&amp;AH25))+COUNTIF($AH$6:$AK$24,AH25)+1&lt;=$U$53,1,0)))</f>
        <v>0</v>
      </c>
      <c r="AS25" s="15" t="n">
        <f aca="false">IF(Y25=1,IF(ISNUMBER(F25),1,0),IF(AI25="",0,IF(IF($U$43=1,COUNTIF($AH$6:$AK$25,"&gt;"&amp;AI25),COUNTIF($AM$6:$AP$25,"&gt;"&amp;AI25))+COUNTIF($AH$6:$AK$24,AI25)+COUNTIF($AH25:AH25,AI25)+1&lt;=$U$53,1,0)))</f>
        <v>0</v>
      </c>
      <c r="AT25" s="15" t="n">
        <f aca="false">IF(Y25=1,IF(ISNUMBER(G25),1,0),IF(AJ25="",0,IF(IF($U$43=1,COUNTIF($AH$6:$AK$25,"&gt;"&amp;AJ25),COUNTIF($AM$6:$AP$25,"&gt;"&amp;AJ25))+COUNTIF($AH$6:$AK$24,AJ25)+COUNTIF($AH25:AI25,AJ25)+1&lt;=$U$53,1,0)))</f>
        <v>0</v>
      </c>
      <c r="AU25" s="15" t="n">
        <f aca="false">IF(Y25=1,IF(ISNUMBER(H25),1,0),IF(AK25="",0,IF(IF($U$43=1,COUNTIF($AH$6:$AK$25,"&gt;"&amp;AK25),COUNTIF($AM$6:$AP$25,"&gt;"&amp;AK25))+COUNTIF($AH$6:$AK$24,AK25)+COUNTIF($AH25:AJ25,AK25)+1&lt;=$U$53,1,0)))</f>
        <v>0</v>
      </c>
      <c r="BZ25" s="15" t="n">
        <f aca="false">IFERROR(LARGE($AH$6:$AK$25,24),0)</f>
        <v>0</v>
      </c>
      <c r="CA25" s="15" t="n">
        <f aca="false">CA24+BZ25</f>
        <v>0</v>
      </c>
      <c r="CB25" s="15" t="n">
        <f aca="false">IFERROR(LARGE($AM$6:$AP$25,24),0)</f>
        <v>0</v>
      </c>
      <c r="CC25" s="15" t="n">
        <f aca="false">CC24+CB25</f>
        <v>0</v>
      </c>
    </row>
    <row r="26" customFormat="false" ht="22.35" hidden="false" customHeight="false" outlineLevel="0" collapsed="false">
      <c r="L26" s="42" t="str">
        <f aca="false">"In mindestens "&amp;$U$32&amp;" Prüfungen mindestens 5 Punkte (einfach), davon eine im 1./2./3. Prüfungsfach"</f>
        <v>In mindestens 3 Prüfungen mindestens 5 Punkte (einfach), davon eine im 1./2./3. Prüfungsfach</v>
      </c>
      <c r="M26" s="43" t="str">
        <f aca="false">IF($U$4=0,"",IF($U$72=1,"✓ erfüllt","✗ nicht erfüllt"))</f>
        <v/>
      </c>
      <c r="N26" s="36" t="str">
        <f aca="false">IF($U$4=0,"",$U$70&amp;" Prüfungen")</f>
        <v/>
      </c>
      <c r="T26" s="15" t="s">
        <v>204</v>
      </c>
      <c r="U26" s="15" t="n">
        <f aca="false">BR6+BR7+BR8+BR9+BR10</f>
        <v>0</v>
      </c>
      <c r="BZ26" s="15" t="n">
        <f aca="false">IFERROR(LARGE($AH$6:$AK$25,25),0)</f>
        <v>0</v>
      </c>
      <c r="CA26" s="15" t="n">
        <f aca="false">CA25+BZ26</f>
        <v>0</v>
      </c>
      <c r="CB26" s="15" t="n">
        <f aca="false">IFERROR(LARGE($AM$6:$AP$25,25),0)</f>
        <v>0</v>
      </c>
      <c r="CC26" s="15" t="n">
        <f aca="false">CC25+CB26</f>
        <v>0</v>
      </c>
    </row>
    <row r="27" customFormat="false" ht="30" hidden="false" customHeight="true" outlineLevel="0" collapsed="false">
      <c r="B27" s="21" t="s">
        <v>300</v>
      </c>
      <c r="C27" s="37"/>
      <c r="E27" s="25"/>
      <c r="F27" s="51" t="s">
        <v>301</v>
      </c>
      <c r="L27" s="42" t="s">
        <v>219</v>
      </c>
      <c r="M27" s="43" t="str">
        <f aca="false">IF($U$4=0,"",IF($U$73=1,"✓ erfüllt","✗ nicht erfüllt"))</f>
        <v/>
      </c>
      <c r="N27" s="36"/>
      <c r="T27" s="15" t="s">
        <v>207</v>
      </c>
      <c r="U27" s="15" t="n">
        <f aca="false">MIN(300,INT((SUM(BU6,BU7,BU8,BU9,BU10))+0.5+0.000000001))</f>
        <v>140</v>
      </c>
      <c r="BZ27" s="15" t="n">
        <f aca="false">IFERROR(LARGE($AH$6:$AK$25,26),0)</f>
        <v>0</v>
      </c>
      <c r="CA27" s="15" t="n">
        <f aca="false">CA26+BZ27</f>
        <v>0</v>
      </c>
      <c r="CB27" s="15" t="n">
        <f aca="false">IFERROR(LARGE($AM$6:$AP$25,26),0)</f>
        <v>0</v>
      </c>
      <c r="CC27" s="15" t="n">
        <f aca="false">CC26+CB27</f>
        <v>0</v>
      </c>
    </row>
    <row r="28" customFormat="false" ht="15" hidden="false" customHeight="false" outlineLevel="0" collapsed="false">
      <c r="L28" s="42" t="s">
        <v>221</v>
      </c>
      <c r="M28" s="43" t="str">
        <f aca="false">IF($U$4=0,"",IF($U$76=1,"✓ erfüllt","✗ nicht erfüllt"))</f>
        <v/>
      </c>
      <c r="N28" s="36" t="str">
        <f aca="false">IF($U$4=0,"",$U$75&amp;" Punkte")</f>
        <v/>
      </c>
      <c r="T28" s="15" t="s">
        <v>210</v>
      </c>
      <c r="U28" s="15" t="n">
        <f aca="false">SUM(BV6,BV7,BV8,BV9,BV10)</f>
        <v>5</v>
      </c>
      <c r="BZ28" s="15" t="n">
        <f aca="false">IFERROR(LARGE($AH$6:$AK$25,27),0)</f>
        <v>0</v>
      </c>
      <c r="CA28" s="15" t="n">
        <f aca="false">CA27+BZ28</f>
        <v>0</v>
      </c>
      <c r="CB28" s="15" t="n">
        <f aca="false">IFERROR(LARGE($AM$6:$AP$25,27),0)</f>
        <v>0</v>
      </c>
      <c r="CC28" s="15" t="n">
        <f aca="false">CC27+CB28</f>
        <v>0</v>
      </c>
    </row>
    <row r="29" customFormat="false" ht="15" hidden="false" customHeight="false" outlineLevel="0" collapsed="false">
      <c r="B29" s="5" t="s">
        <v>302</v>
      </c>
      <c r="T29" s="15" t="s">
        <v>213</v>
      </c>
      <c r="U29" s="15" t="n">
        <f aca="false">BV6+BV7+BV8</f>
        <v>3</v>
      </c>
      <c r="BZ29" s="15" t="n">
        <f aca="false">IFERROR(LARGE($AH$6:$AK$25,28),0)</f>
        <v>0</v>
      </c>
      <c r="CA29" s="15" t="n">
        <f aca="false">CA28+BZ29</f>
        <v>0</v>
      </c>
      <c r="CB29" s="15" t="n">
        <f aca="false">IFERROR(LARGE($AM$6:$AP$25,28),0)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">
        <v>303</v>
      </c>
      <c r="L30" s="44" t="s">
        <v>226</v>
      </c>
      <c r="T30" s="15" t="s">
        <v>216</v>
      </c>
      <c r="U30" s="15" t="n">
        <f aca="false">BW6+BW7+BW8+BW9+BW10</f>
        <v>0</v>
      </c>
      <c r="BZ30" s="15" t="n">
        <f aca="false">IFERROR(LARGE($AH$6:$AK$25,29),0)</f>
        <v>0</v>
      </c>
      <c r="CA30" s="15" t="n">
        <f aca="false">CA29+BZ30</f>
        <v>0</v>
      </c>
      <c r="CB30" s="15" t="n">
        <f aca="false">IFERROR(LARGE($AM$6:$AP$25,29),0)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304</v>
      </c>
      <c r="L31" s="8" t="s">
        <v>229</v>
      </c>
      <c r="T31" s="15" t="s">
        <v>218</v>
      </c>
      <c r="U31" s="15" t="n">
        <f aca="false">BX6+BX7+BX8+BX9+BX10</f>
        <v>0</v>
      </c>
      <c r="BZ31" s="15" t="n">
        <f aca="false">IFERROR(LARGE($AH$6:$AK$25,30),0)</f>
        <v>0</v>
      </c>
      <c r="CA31" s="15" t="n">
        <f aca="false">CA30+BZ31</f>
        <v>0</v>
      </c>
      <c r="CB31" s="15" t="n">
        <f aca="false">IFERROR(LARGE($AM$6:$AP$25,30),0)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305</v>
      </c>
      <c r="L32" s="45" t="s">
        <v>232</v>
      </c>
      <c r="T32" s="15" t="s">
        <v>220</v>
      </c>
      <c r="U32" s="15" t="n">
        <f aca="false">3</f>
        <v>3</v>
      </c>
      <c r="BZ32" s="15" t="n">
        <f aca="false">IFERROR(LARGE($AH$6:$AK$25,31),0)</f>
        <v>0</v>
      </c>
      <c r="CA32" s="15" t="n">
        <f aca="false">CA31+BZ32</f>
        <v>0</v>
      </c>
      <c r="CB32" s="15" t="n">
        <f aca="false">IFERROR(LARGE($AM$6:$AP$25,31),0)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306</v>
      </c>
      <c r="L33" s="46" t="s">
        <v>235</v>
      </c>
      <c r="T33" s="15" t="s">
        <v>222</v>
      </c>
      <c r="U33" s="15" t="n">
        <f aca="false">IF(ISNUMBER($I$6),0,1)+IF(ISNUMBER($I$7),0,1)+IF(ISNUMBER($I$8),0,1)+IF(ISNUMBER($I$9),0,1)+IF(ISNUMBER($I$10),0,1)</f>
        <v>5</v>
      </c>
      <c r="BZ33" s="15" t="n">
        <f aca="false">IFERROR(LARGE($AH$6:$AK$25,32),0)</f>
        <v>0</v>
      </c>
      <c r="CA33" s="15" t="n">
        <f aca="false">CA32+BZ33</f>
        <v>0</v>
      </c>
      <c r="CB33" s="15" t="n">
        <f aca="false">IFERROR(LARGE($AM$6:$AP$25,32),0)</f>
        <v>0</v>
      </c>
      <c r="CC33" s="15" t="n">
        <f aca="false">CC32+CB33</f>
        <v>0</v>
      </c>
    </row>
    <row r="34" customFormat="false" ht="15" hidden="false" customHeight="false" outlineLevel="0" collapsed="false">
      <c r="B34" s="12" t="s">
        <v>307</v>
      </c>
      <c r="L34" s="47" t="s">
        <v>238</v>
      </c>
      <c r="T34" s="15" t="s">
        <v>224</v>
      </c>
      <c r="U34" s="15" t="n">
        <f aca="false">IF($U$22&gt;=100,1,0)</f>
        <v>0</v>
      </c>
      <c r="BZ34" s="15" t="n">
        <f aca="false">IFERROR(LARGE($AH$6:$AK$25,33),0)</f>
        <v>0</v>
      </c>
      <c r="CA34" s="15" t="n">
        <f aca="false">CA33+BZ34</f>
        <v>0</v>
      </c>
      <c r="CB34" s="15" t="n">
        <f aca="false">IFERROR(LARGE($AM$6:$AP$25,33),0)</f>
        <v>0</v>
      </c>
      <c r="CC34" s="15" t="n">
        <f aca="false">CC33+CB34</f>
        <v>0</v>
      </c>
    </row>
    <row r="35" customFormat="false" ht="15" hidden="false" customHeight="false" outlineLevel="0" collapsed="false">
      <c r="T35" s="15" t="s">
        <v>227</v>
      </c>
      <c r="U35" s="15" t="n">
        <f aca="false">IF(AND($U$23&gt;=$U$32,$U$24&gt;=1),1,0)</f>
        <v>0</v>
      </c>
      <c r="BZ35" s="15" t="n">
        <f aca="false">IFERROR(LARGE($AH$6:$AK$25,34),0)</f>
        <v>0</v>
      </c>
      <c r="CA35" s="15" t="n">
        <f aca="false">CA34+BZ35</f>
        <v>0</v>
      </c>
      <c r="CB35" s="15" t="n">
        <f aca="false">IFERROR(LARGE($AM$6:$AP$25,34),0)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48" t="s">
        <v>308</v>
      </c>
      <c r="L36" s="48" t="s">
        <v>242</v>
      </c>
      <c r="T36" s="15" t="s">
        <v>230</v>
      </c>
      <c r="U36" s="15" t="n">
        <f aca="false">IF($U$26=0,1,0)</f>
        <v>1</v>
      </c>
      <c r="BZ36" s="15" t="n">
        <f aca="false">IFERROR(LARGE($AH$6:$AK$25,35),0)</f>
        <v>0</v>
      </c>
      <c r="CA36" s="15" t="n">
        <f aca="false">CA35+BZ36</f>
        <v>0</v>
      </c>
      <c r="CB36" s="15" t="n">
        <f aca="false">IFERROR(LARGE($AM$6:$AP$25,35),0)</f>
        <v>0</v>
      </c>
      <c r="CC36" s="15" t="n">
        <f aca="false">CC35+CB36</f>
        <v>0</v>
      </c>
    </row>
    <row r="37" customFormat="false" ht="15" hidden="false" customHeight="false" outlineLevel="0" collapsed="false">
      <c r="B37" s="49" t="s">
        <v>309</v>
      </c>
      <c r="L37" s="48" t="s">
        <v>245</v>
      </c>
      <c r="T37" s="15" t="s">
        <v>233</v>
      </c>
      <c r="U37" s="15" t="n">
        <f aca="false">$U$34*$U$35*$U$36</f>
        <v>0</v>
      </c>
      <c r="BZ37" s="15" t="n">
        <f aca="false">IFERROR(LARGE($AH$6:$AK$25,36),0)</f>
        <v>0</v>
      </c>
      <c r="CA37" s="15" t="n">
        <f aca="false">CA36+BZ37</f>
        <v>0</v>
      </c>
      <c r="CB37" s="15" t="n">
        <f aca="false">IFERROR(LARGE($AM$6:$AP$25,36),0)</f>
        <v>0</v>
      </c>
      <c r="CC37" s="15" t="n">
        <f aca="false">CC36+CB37</f>
        <v>0</v>
      </c>
    </row>
    <row r="38" customFormat="false" ht="15" hidden="false" customHeight="false" outlineLevel="0" collapsed="false">
      <c r="T38" s="15" t="s">
        <v>236</v>
      </c>
      <c r="U38" s="15" t="n">
        <f aca="false">IF($U$27&gt;=100,1,0)</f>
        <v>1</v>
      </c>
      <c r="BZ38" s="15" t="n">
        <f aca="false">IFERROR(LARGE($AH$6:$AK$25,37),0)</f>
        <v>0</v>
      </c>
      <c r="CA38" s="15" t="n">
        <f aca="false">CA37+BZ38</f>
        <v>0</v>
      </c>
      <c r="CB38" s="15" t="n">
        <f aca="false">IFERROR(LARGE($AM$6:$AP$25,37),0)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0" t="s">
        <v>310</v>
      </c>
      <c r="T39" s="15" t="s">
        <v>239</v>
      </c>
      <c r="U39" s="15" t="n">
        <f aca="false">IF(AND($U$28&gt;=$U$32,$U$29&gt;=1),1,0)</f>
        <v>1</v>
      </c>
      <c r="BZ39" s="15" t="n">
        <f aca="false">IFERROR(LARGE($AH$6:$AK$25,38),0)</f>
        <v>0</v>
      </c>
      <c r="CA39" s="15" t="n">
        <f aca="false">CA38+BZ39</f>
        <v>0</v>
      </c>
      <c r="CB39" s="15" t="n">
        <f aca="false">IFERROR(LARGE($AM$6:$AP$25,38),0)</f>
        <v>0</v>
      </c>
      <c r="CC39" s="15" t="n">
        <f aca="false">CC38+CB39</f>
        <v>0</v>
      </c>
    </row>
    <row r="40" customFormat="false" ht="15" hidden="false" customHeight="false" outlineLevel="0" collapsed="false">
      <c r="B40" s="51" t="s">
        <v>250</v>
      </c>
      <c r="T40" s="15" t="s">
        <v>240</v>
      </c>
      <c r="U40" s="15" t="n">
        <f aca="false">IF($U$31=0,1,0)</f>
        <v>1</v>
      </c>
      <c r="BZ40" s="15" t="n">
        <f aca="false">IFERROR(LARGE($AH$6:$AK$25,39),0)</f>
        <v>0</v>
      </c>
      <c r="CA40" s="15" t="n">
        <f aca="false">CA39+BZ40</f>
        <v>0</v>
      </c>
      <c r="CB40" s="15" t="n">
        <f aca="false">IFERROR(LARGE($AM$6:$AP$25,39),0)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243</v>
      </c>
      <c r="U41" s="15" t="n">
        <f aca="false">$U$38*$U$39*$U$40</f>
        <v>1</v>
      </c>
      <c r="BZ41" s="15" t="n">
        <f aca="false">IFERROR(LARGE($AH$6:$AK$25,40),0)</f>
        <v>0</v>
      </c>
      <c r="CA41" s="15" t="n">
        <f aca="false">CA40+BZ41</f>
        <v>0</v>
      </c>
      <c r="CB41" s="15" t="n">
        <f aca="false">IFERROR(LARGE($AM$6:$AP$25,40),0)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246</v>
      </c>
      <c r="U42" s="15" t="n">
        <f aca="false">INDEX($DG$3:$DG$3,$U$19)+$U$33+$U$15</f>
        <v>44</v>
      </c>
      <c r="BZ42" s="15" t="n">
        <f aca="false">IFERROR(LARGE($AH$6:$AK$25,41),0)</f>
        <v>0</v>
      </c>
      <c r="CA42" s="15" t="n">
        <f aca="false">CA41+BZ42</f>
        <v>0</v>
      </c>
      <c r="CB42" s="15" t="n">
        <f aca="false">IFERROR(LARGE($AM$6:$AP$25,41),0)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247</v>
      </c>
      <c r="U43" s="15" t="n">
        <f aca="false">IF($U$42=0,1,0)</f>
        <v>0</v>
      </c>
      <c r="BZ43" s="15" t="n">
        <f aca="false">IFERROR(LARGE($AH$6:$AK$25,42),0)</f>
        <v>0</v>
      </c>
      <c r="CA43" s="15" t="n">
        <f aca="false">CA42+BZ43</f>
        <v>0</v>
      </c>
      <c r="CB43" s="15" t="n">
        <f aca="false">IFERROR(LARGE($AM$6:$AP$25,42),0)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249</v>
      </c>
      <c r="U44" s="15" t="n">
        <f aca="false">IF($U$43=1,INDEX($CQ$3:$CQ$3,$U$19),INDEX($CQ$23:$CQ$23,$U$20))</f>
        <v>280</v>
      </c>
      <c r="BZ44" s="15" t="n">
        <f aca="false">IFERROR(LARGE($AH$6:$AK$25,43),0)</f>
        <v>0</v>
      </c>
      <c r="CA44" s="15" t="n">
        <f aca="false">CA43+BZ44</f>
        <v>0</v>
      </c>
      <c r="CB44" s="15" t="n">
        <f aca="false">IFERROR(LARGE($AM$6:$AP$25,43),0)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251</v>
      </c>
      <c r="U45" s="15" t="n">
        <f aca="false">IF($U$43=1,INDEX($CK$3:$CK$3,$U$19),INDEX($CK$23:$CK$23,$U$20))</f>
        <v>40</v>
      </c>
      <c r="BZ45" s="15" t="n">
        <f aca="false">IFERROR(LARGE($AH$6:$AK$25,44),0)</f>
        <v>0</v>
      </c>
      <c r="CA45" s="15" t="n">
        <f aca="false">CA44+BZ45</f>
        <v>0</v>
      </c>
      <c r="CB45" s="15" t="n">
        <f aca="false">IFERROR(LARGE($AM$6:$AP$25,44),0)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252</v>
      </c>
      <c r="U46" s="15" t="n">
        <f aca="false">IF($U$43=1,INDEX($CR$3:$CR$3,$U$19),INDEX($CR$23:$CR$23,$U$20))</f>
        <v>0</v>
      </c>
      <c r="BZ46" s="15" t="n">
        <f aca="false">IFERROR(LARGE($AH$6:$AK$25,45),0)</f>
        <v>0</v>
      </c>
      <c r="CA46" s="15" t="n">
        <f aca="false">CA45+BZ46</f>
        <v>0</v>
      </c>
      <c r="CB46" s="15" t="n">
        <f aca="false">IFERROR(LARGE($AM$6:$AP$25,45),0)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253</v>
      </c>
      <c r="U47" s="15" t="n">
        <f aca="false">IF($U$43=1,INDEX($CS$3:$CS$3,$U$19),INDEX($CS$23:$CS$23,$U$20))</f>
        <v>8</v>
      </c>
      <c r="BZ47" s="15" t="n">
        <f aca="false">IFERROR(LARGE($AH$6:$AK$25,46),0)</f>
        <v>0</v>
      </c>
      <c r="CA47" s="15" t="n">
        <f aca="false">CA46+BZ47</f>
        <v>0</v>
      </c>
      <c r="CB47" s="15" t="n">
        <f aca="false">IFERROR(LARGE($AM$6:$AP$25,46),0)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254</v>
      </c>
      <c r="U48" s="15" t="n">
        <f aca="false">IF($U$43=1,INDEX($CT$3:$CT$3,$U$19),INDEX($CT$23:$CT$23,$U$20))</f>
        <v>0</v>
      </c>
      <c r="BZ48" s="15" t="n">
        <f aca="false">IFERROR(LARGE($AH$6:$AK$25,47),0)</f>
        <v>0</v>
      </c>
      <c r="CA48" s="15" t="n">
        <f aca="false">CA47+BZ48</f>
        <v>0</v>
      </c>
      <c r="CB48" s="15" t="n">
        <f aca="false">IFERROR(LARGE($AM$6:$AP$25,47),0)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255</v>
      </c>
      <c r="U49" s="15" t="n">
        <f aca="false">IF($U$43=1,INDEX($CL$3:$CL$3,$U$19),INDEX($CL$23:$CL$23,$U$20))</f>
        <v>84</v>
      </c>
      <c r="BZ49" s="15" t="n">
        <f aca="false">IFERROR(LARGE($AH$6:$AK$25,48),0)</f>
        <v>0</v>
      </c>
      <c r="CA49" s="15" t="n">
        <f aca="false">CA48+BZ49</f>
        <v>0</v>
      </c>
      <c r="CB49" s="15" t="n">
        <f aca="false">IFERROR(LARGE($AM$6:$AP$25,48),0)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256</v>
      </c>
      <c r="U50" s="15" t="n">
        <f aca="false">IF($U$43=1,INDEX($CU$3:$CU$3,$U$19),INDEX($CU$23:$CU$23,$U$20))</f>
        <v>182</v>
      </c>
      <c r="BZ50" s="15" t="n">
        <f aca="false">IFERROR(LARGE($AH$6:$AK$25,49),0)</f>
        <v>0</v>
      </c>
      <c r="CA50" s="15" t="n">
        <f aca="false">CA49+BZ50</f>
        <v>0</v>
      </c>
      <c r="CB50" s="15" t="n">
        <f aca="false">IFERROR(LARGE($AM$6:$AP$25,49),0)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257</v>
      </c>
      <c r="U51" s="15" t="n">
        <f aca="false">IF($U$43=1,INDEX($CP$3:$CP$3,$U$19),INDEX($CP$23:$CP$23,$U$20))</f>
        <v>40</v>
      </c>
      <c r="BZ51" s="15" t="n">
        <f aca="false">IFERROR(LARGE($AH$6:$AK$25,50),0)</f>
        <v>0</v>
      </c>
      <c r="CA51" s="15" t="n">
        <f aca="false">CA50+BZ51</f>
        <v>0</v>
      </c>
      <c r="CB51" s="15" t="n">
        <f aca="false">IFERROR(LARGE($AM$6:$AP$25,50),0)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258</v>
      </c>
      <c r="U52" s="15" t="n">
        <f aca="false">IF($U$43=1,INDEX($CO$3:$CO$3,$U$19),INDEX($CO$23:$CO$23,$U$20))</f>
        <v>280</v>
      </c>
      <c r="BZ52" s="15" t="n">
        <f aca="false">IFERROR(LARGE($AH$6:$AK$25,51),0)</f>
        <v>0</v>
      </c>
      <c r="CA52" s="15" t="n">
        <f aca="false">CA51+BZ52</f>
        <v>0</v>
      </c>
      <c r="CB52" s="15" t="n">
        <f aca="false">IFERROR(LARGE($AM$6:$AP$25,51),0)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259</v>
      </c>
      <c r="U53" s="15" t="n">
        <f aca="false">IF($U$43=1,INDEX($CH$3:$CH$3,$U$19),INDEX($CH$23:$CH$23,$U$20))</f>
        <v>0</v>
      </c>
      <c r="BZ53" s="15" t="n">
        <f aca="false">IFERROR(LARGE($AH$6:$AK$25,52),0)</f>
        <v>0</v>
      </c>
      <c r="CA53" s="15" t="n">
        <f aca="false">CA52+BZ53</f>
        <v>0</v>
      </c>
      <c r="CB53" s="15" t="n">
        <f aca="false">IFERROR(LARGE($AM$6:$AP$25,52),0)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260</v>
      </c>
      <c r="U54" s="15" t="n">
        <f aca="false">IF($U$43=1,INDEX($DF$3:$DF$3,$U$19),INDEX($DF$23:$DF$23,$U$20))</f>
        <v>1</v>
      </c>
      <c r="BZ54" s="15" t="n">
        <f aca="false">IFERROR(LARGE($AH$6:$AK$25,53),0)</f>
        <v>0</v>
      </c>
      <c r="CA54" s="15" t="n">
        <f aca="false">CA53+BZ54</f>
        <v>0</v>
      </c>
      <c r="CB54" s="15" t="n">
        <f aca="false">IFERROR(LARGE($AM$6:$AP$25,53),0)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261</v>
      </c>
      <c r="U55" s="15" t="n">
        <f aca="false">IF($U$43=1,INDEX($CV$3:$CV$3,$U$19),INDEX($CV$23:$CV$23,$U$20))</f>
        <v>1</v>
      </c>
      <c r="BZ55" s="15" t="n">
        <f aca="false">IFERROR(LARGE($AH$6:$AK$25,54),0)</f>
        <v>0</v>
      </c>
      <c r="CA55" s="15" t="n">
        <f aca="false">CA54+BZ55</f>
        <v>0</v>
      </c>
      <c r="CB55" s="15" t="n">
        <f aca="false">IFERROR(LARGE($AM$6:$AP$25,54),0)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262</v>
      </c>
      <c r="U56" s="15" t="n">
        <f aca="false">IF($U$43=1,INDEX($CW$3:$CW$3,$U$19),INDEX($CW$23:$CW$23,$U$20))</f>
        <v>1</v>
      </c>
      <c r="BZ56" s="15" t="n">
        <f aca="false">IFERROR(LARGE($AH$6:$AK$25,55),0)</f>
        <v>0</v>
      </c>
      <c r="CA56" s="15" t="n">
        <f aca="false">CA55+BZ56</f>
        <v>0</v>
      </c>
      <c r="CB56" s="15" t="n">
        <f aca="false">IFERROR(LARGE($AM$6:$AP$25,55),0)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263</v>
      </c>
      <c r="U57" s="15" t="n">
        <f aca="false">IF($U$43=1,INDEX($CX$3:$CX$3,$U$19),INDEX($CX$23:$CX$23,$U$20))</f>
        <v>1</v>
      </c>
      <c r="BZ57" s="15" t="n">
        <f aca="false">IFERROR(LARGE($AH$6:$AK$25,56),0)</f>
        <v>0</v>
      </c>
      <c r="CA57" s="15" t="n">
        <f aca="false">CA56+BZ57</f>
        <v>0</v>
      </c>
      <c r="CB57" s="15" t="n">
        <f aca="false">IFERROR(LARGE($AM$6:$AP$25,56),0)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264</v>
      </c>
      <c r="U58" s="15" t="n">
        <f aca="false">IF($U$43=1,INDEX($CY$3:$CY$3,$U$19),INDEX($CY$23:$CY$23,$U$20))</f>
        <v>1</v>
      </c>
    </row>
    <row r="59" customFormat="false" ht="15" hidden="false" customHeight="false" outlineLevel="0" collapsed="false">
      <c r="T59" s="15" t="s">
        <v>265</v>
      </c>
      <c r="U59" s="15" t="n">
        <f aca="false">IF($U$43=1,INDEX($CZ$3:$CZ$3,$U$19),INDEX($CZ$23:$CZ$23,$U$20))</f>
        <v>1</v>
      </c>
    </row>
    <row r="60" customFormat="false" ht="15" hidden="false" customHeight="false" outlineLevel="0" collapsed="false">
      <c r="T60" s="15" t="s">
        <v>266</v>
      </c>
      <c r="U60" s="15" t="n">
        <f aca="false">IF($U$43=1,INDEX($DA$3:$DA$3,$U$19),INDEX($DA$23:$DA$23,$U$20))</f>
        <v>1</v>
      </c>
    </row>
    <row r="61" customFormat="false" ht="15" hidden="false" customHeight="false" outlineLevel="0" collapsed="false">
      <c r="T61" s="15" t="s">
        <v>267</v>
      </c>
      <c r="U61" s="15" t="n">
        <f aca="false">IF($U$43=1,INDEX($DB$3:$DB$3,$U$19),INDEX($DB$23:$DB$23,$U$20))</f>
        <v>1</v>
      </c>
    </row>
    <row r="62" customFormat="false" ht="15" hidden="false" customHeight="false" outlineLevel="0" collapsed="false">
      <c r="T62" s="15" t="s">
        <v>268</v>
      </c>
      <c r="U62" s="15" t="n">
        <f aca="false">IF($U$43=1,INDEX($DC$3:$DC$3,$U$19),INDEX($DC$23:$DC$23,$U$20))</f>
        <v>1</v>
      </c>
    </row>
    <row r="63" customFormat="false" ht="15" hidden="false" customHeight="false" outlineLevel="0" collapsed="false">
      <c r="T63" s="15" t="s">
        <v>269</v>
      </c>
      <c r="U63" s="15" t="n">
        <f aca="false">IF($U$43=1,INDEX($DD$3:$DD$3,$U$19),INDEX($DD$23:$DD$23,$U$20))</f>
        <v>1</v>
      </c>
    </row>
    <row r="64" customFormat="false" ht="15" hidden="false" customHeight="false" outlineLevel="0" collapsed="false">
      <c r="T64" s="15" t="s">
        <v>270</v>
      </c>
      <c r="U64" s="15" t="n">
        <f aca="false">IF($U$43=1,INDEX($DE$3:$DE$3,$U$19),INDEX($DE$23:$DE$23,$U$20))</f>
        <v>1</v>
      </c>
    </row>
    <row r="65" customFormat="false" ht="15" hidden="false" customHeight="false" outlineLevel="0" collapsed="false">
      <c r="T65" s="15" t="s">
        <v>271</v>
      </c>
      <c r="U65" s="15" t="n">
        <f aca="false">IF($U$43=1,$U$19,$U$20)</f>
        <v>1</v>
      </c>
    </row>
    <row r="66" customFormat="false" ht="15" hidden="false" customHeight="false" outlineLevel="0" collapsed="false">
      <c r="T66" s="15" t="s">
        <v>272</v>
      </c>
      <c r="U66" s="15" t="n">
        <f aca="false">IF($U$43=1,$U$9,$V$9)</f>
        <v>0</v>
      </c>
    </row>
    <row r="67" customFormat="false" ht="15" hidden="false" customHeight="false" outlineLevel="0" collapsed="false">
      <c r="T67" s="15" t="s">
        <v>311</v>
      </c>
      <c r="U67" s="15" t="n">
        <f aca="false">IF($U$43=1,$U$17,$V$17)</f>
        <v>84</v>
      </c>
    </row>
    <row r="68" customFormat="false" ht="15" hidden="false" customHeight="false" outlineLevel="0" collapsed="false">
      <c r="T68" s="15" t="s">
        <v>312</v>
      </c>
      <c r="U68" s="15" t="n">
        <f aca="false">IF($U$43=1,$U$18,$V$18)</f>
        <v>140</v>
      </c>
    </row>
    <row r="69" customFormat="false" ht="15" hidden="false" customHeight="false" outlineLevel="0" collapsed="false">
      <c r="T69" s="15" t="s">
        <v>273</v>
      </c>
      <c r="U69" s="15" t="n">
        <f aca="false">IF($U$43=1,$U$22,$U$27)</f>
        <v>140</v>
      </c>
    </row>
    <row r="70" customFormat="false" ht="15" hidden="false" customHeight="false" outlineLevel="0" collapsed="false">
      <c r="T70" s="0" t="s">
        <v>274</v>
      </c>
      <c r="U70" s="0" t="n">
        <f aca="false">IF($U$43=1,$U$23,$U$28)</f>
        <v>5</v>
      </c>
    </row>
    <row r="71" customFormat="false" ht="15" hidden="false" customHeight="false" outlineLevel="0" collapsed="false">
      <c r="T71" s="0" t="s">
        <v>275</v>
      </c>
      <c r="U71" s="0" t="n">
        <f aca="false">IF($U$43=1,$U$34,$U$38)</f>
        <v>1</v>
      </c>
    </row>
    <row r="72" customFormat="false" ht="15" hidden="false" customHeight="false" outlineLevel="0" collapsed="false">
      <c r="T72" s="0" t="s">
        <v>276</v>
      </c>
      <c r="U72" s="0" t="n">
        <f aca="false">IF($U$43=1,$U$35,$U$39)</f>
        <v>1</v>
      </c>
    </row>
    <row r="73" customFormat="false" ht="15" hidden="false" customHeight="false" outlineLevel="0" collapsed="false">
      <c r="T73" s="0" t="s">
        <v>277</v>
      </c>
      <c r="U73" s="0" t="n">
        <f aca="false">IF($U$43=1,$U$36,$U$40)</f>
        <v>1</v>
      </c>
    </row>
    <row r="74" customFormat="false" ht="15" hidden="false" customHeight="false" outlineLevel="0" collapsed="false">
      <c r="T74" s="0" t="s">
        <v>278</v>
      </c>
      <c r="U74" s="0" t="n">
        <f aca="false">IF($U$43=1,$U$37,$U$41)</f>
        <v>1</v>
      </c>
    </row>
    <row r="75" customFormat="false" ht="15" hidden="false" customHeight="false" outlineLevel="0" collapsed="false">
      <c r="T75" s="0" t="s">
        <v>188</v>
      </c>
      <c r="U75" s="0" t="n">
        <f aca="false">$U$44+$U$69</f>
        <v>420</v>
      </c>
    </row>
    <row r="76" customFormat="false" ht="15" hidden="false" customHeight="false" outlineLevel="0" collapsed="false">
      <c r="T76" s="0" t="s">
        <v>279</v>
      </c>
      <c r="U76" s="0" t="n">
        <f aca="false">IF($U$75&gt;=300,1,0)</f>
        <v>1</v>
      </c>
    </row>
    <row r="77" customFormat="false" ht="15" hidden="false" customHeight="false" outlineLevel="0" collapsed="false">
      <c r="T77" s="0" t="s">
        <v>280</v>
      </c>
      <c r="U77" s="0" t="n">
        <f aca="false">IF($U$54*$U$74*$U$76=1,1,0)</f>
        <v>1</v>
      </c>
    </row>
    <row r="78" customFormat="false" ht="15" hidden="false" customHeight="false" outlineLevel="0" collapsed="false">
      <c r="T78" s="0" t="s">
        <v>281</v>
      </c>
      <c r="U78" s="0" t="n">
        <f aca="false">IF($U$75&lt;300,"",MAX(10,MIN(40,INT((1020-$U$75)/18))))</f>
        <v>33</v>
      </c>
    </row>
    <row r="79" customFormat="false" ht="15" hidden="false" customHeight="false" outlineLevel="0" collapsed="false">
      <c r="T79" s="0" t="s">
        <v>282</v>
      </c>
      <c r="U79" s="0" t="n">
        <f aca="false">IF($U$78="",MAX(0,300-$U$75),IF($U$78&gt;10,1021-18*$U$78-$U$75,""))</f>
        <v>7</v>
      </c>
    </row>
    <row r="80" customFormat="false" ht="15" hidden="false" customHeight="false" outlineLevel="0" collapsed="false">
      <c r="T80" s="0" t="s">
        <v>283</v>
      </c>
      <c r="U80" s="0" t="n">
        <f aca="false">IF($U$78="","",$U$75-IF($U$78&gt;=40,300,1020-18*($U$78+1)+1))</f>
        <v>11</v>
      </c>
    </row>
  </sheetData>
  <sheetProtection sheet="true" formatCells="false" formatColumns="false" formatRows="false"/>
  <mergeCells count="1">
    <mergeCell ref="M6:N6"/>
  </mergeCells>
  <conditionalFormatting sqref="E6:H25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10">
    <cfRule type="expression" priority="5" aboveAverage="0" equalAverage="0" bottom="0" percent="0" rank="0" text="" dxfId="3">
      <formula>AND(ISNUMBER(I6),I6&lt;5)</formula>
    </cfRule>
  </conditionalFormatting>
  <conditionalFormatting sqref="M19:M28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3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8 E9:I10 E12:H25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2:D25" type="list">
      <formula1>"x"</formula1>
      <formula2>0</formula2>
    </dataValidation>
    <dataValidation allowBlank="true" error="Bitte eine ganze Zahl von 0 bis 30 eingeben." errorStyle="stop" errorTitle="Punkte" operator="between" showDropDown="false" showErrorMessage="false" showInputMessage="false" sqref="E27" type="whole">
      <formula1>0</formula1>
      <formula2>30</formula2>
    </dataValidation>
  </dataValidations>
  <hyperlinks>
    <hyperlink ref="B37" r:id="rId2" display="https://www.gesetze-bayern.de/Content/Document/BayGSO-44"/>
    <hyperlink ref="B39" r:id="rId3" display="Online-Rechner Bayern mit Statistik und PDF-Download: https://www.abi-rechner.com/bundeslander/bayern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Bayern · abi-rechner.com · Stand September 2026</oddFooter>
  </headerFooter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313</v>
      </c>
      <c r="T1" s="15" t="s">
        <v>72</v>
      </c>
      <c r="BZ1" s="15" t="s">
        <v>73</v>
      </c>
      <c r="CA1" s="15" t="s">
        <v>74</v>
      </c>
      <c r="CB1" s="15" t="s">
        <v>75</v>
      </c>
      <c r="CC1" s="15" t="s">
        <v>76</v>
      </c>
    </row>
    <row r="2" customFormat="false" ht="15" hidden="false" customHeight="false" outlineLevel="0" collapsed="false">
      <c r="B2" s="2" t="s">
        <v>314</v>
      </c>
      <c r="T2" s="15" t="s">
        <v>78</v>
      </c>
      <c r="U2" s="15" t="n">
        <f aca="false">IFERROR(AVERAGE($E$6:$H$25),7)</f>
        <v>7</v>
      </c>
      <c r="BZ2" s="15" t="n">
        <f aca="false">IFERROR(LARGE($AH$6:$AK$25,1),0)</f>
        <v>0</v>
      </c>
      <c r="CA2" s="15" t="n">
        <f aca="false">BZ2</f>
        <v>0</v>
      </c>
      <c r="CB2" s="15" t="n">
        <f aca="false">IFERROR(LARGE($AM$6:$AP$25,1),0)</f>
        <v>0</v>
      </c>
      <c r="CC2" s="15" t="n">
        <f aca="false">CB2</f>
        <v>0</v>
      </c>
      <c r="CE2" s="15" t="s">
        <v>79</v>
      </c>
      <c r="CF2" s="15" t="s">
        <v>80</v>
      </c>
      <c r="CG2" s="15" t="s">
        <v>81</v>
      </c>
      <c r="CH2" s="15" t="s">
        <v>82</v>
      </c>
      <c r="CI2" s="15" t="s">
        <v>83</v>
      </c>
      <c r="CJ2" s="15" t="s">
        <v>84</v>
      </c>
      <c r="CK2" s="15" t="s">
        <v>85</v>
      </c>
      <c r="CL2" s="15" t="s">
        <v>86</v>
      </c>
      <c r="CM2" s="15" t="s">
        <v>87</v>
      </c>
      <c r="CN2" s="15" t="s">
        <v>88</v>
      </c>
      <c r="CO2" s="15" t="s">
        <v>89</v>
      </c>
      <c r="CP2" s="15" t="s">
        <v>90</v>
      </c>
      <c r="CQ2" s="15" t="s">
        <v>91</v>
      </c>
      <c r="CR2" s="15" t="s">
        <v>92</v>
      </c>
      <c r="CS2" s="15" t="s">
        <v>93</v>
      </c>
      <c r="CT2" s="15" t="s">
        <v>94</v>
      </c>
      <c r="CU2" s="15" t="s">
        <v>95</v>
      </c>
      <c r="CV2" s="15" t="s">
        <v>96</v>
      </c>
      <c r="CW2" s="15" t="s">
        <v>97</v>
      </c>
      <c r="CX2" s="15" t="s">
        <v>98</v>
      </c>
      <c r="CY2" s="15" t="s">
        <v>99</v>
      </c>
      <c r="CZ2" s="15" t="s">
        <v>100</v>
      </c>
      <c r="DA2" s="15" t="s">
        <v>101</v>
      </c>
      <c r="DB2" s="15" t="s">
        <v>102</v>
      </c>
      <c r="DC2" s="15" t="s">
        <v>103</v>
      </c>
      <c r="DD2" s="15" t="s">
        <v>104</v>
      </c>
      <c r="DE2" s="15" t="s">
        <v>105</v>
      </c>
      <c r="DF2" s="15" t="s">
        <v>106</v>
      </c>
      <c r="DG2" s="15" t="s">
        <v>107</v>
      </c>
      <c r="DH2" s="15" t="s">
        <v>108</v>
      </c>
    </row>
    <row r="3" customFormat="false" ht="15" hidden="false" customHeight="false" outlineLevel="0" collapsed="false">
      <c r="B3" s="16" t="s">
        <v>109</v>
      </c>
      <c r="T3" s="15" t="s">
        <v>110</v>
      </c>
      <c r="U3" s="15" t="n">
        <f aca="false">IFERROR(AVERAGE($I$6:$I$10),$U$2)</f>
        <v>7</v>
      </c>
      <c r="BZ3" s="15" t="n">
        <f aca="false">IFERROR(LARGE($AH$6:$AK$25,2),0)</f>
        <v>0</v>
      </c>
      <c r="CA3" s="15" t="n">
        <f aca="false">CA2+BZ3</f>
        <v>0</v>
      </c>
      <c r="CB3" s="15" t="n">
        <f aca="false">IFERROR(LARGE($AM$6:$AP$25,2),0)</f>
        <v>0</v>
      </c>
      <c r="CC3" s="15" t="n">
        <f aca="false">CC2+CB3</f>
        <v>0</v>
      </c>
      <c r="CE3" s="15" t="n">
        <f aca="false">32</f>
        <v>32</v>
      </c>
      <c r="CF3" s="15" t="n">
        <f aca="false">CE3-$U$5-$U$6-0</f>
        <v>15</v>
      </c>
      <c r="CG3" s="15" t="n">
        <f aca="false">MAX(0,CF3)</f>
        <v>15</v>
      </c>
      <c r="CH3" s="15" t="n">
        <f aca="false">MIN(CG3,$U$7)</f>
        <v>0</v>
      </c>
      <c r="CI3" s="15" t="n">
        <f aca="false">CG3-CH3</f>
        <v>15</v>
      </c>
      <c r="CJ3" s="15" t="n">
        <f aca="false">0</f>
        <v>0</v>
      </c>
      <c r="CK3" s="15" t="n">
        <f aca="false">$U$5+CH3+CJ3</f>
        <v>0</v>
      </c>
      <c r="CL3" s="15" t="n">
        <f aca="false">2*AW6+2*AX6+2*AW7+2*AX7</f>
        <v>0</v>
      </c>
      <c r="CM3" s="15" t="n">
        <f aca="false">2*AY6+2*AZ6+2*AY7+2*AZ7+1*AY8+1*AZ8+1*AY9+1*AZ9+1*AY10+1*AZ10+SUM($AA$12:$AA$25)</f>
        <v>0</v>
      </c>
      <c r="CN3" s="15" t="n">
        <f aca="false">IF(CH3=0,0,INDEX($CA$2:$CA$60,CH3))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MIN(600,INT((CO3)+0.5+0.000000001))</f>
        <v>0</v>
      </c>
      <c r="CR3" s="15" t="n">
        <f aca="false">$U$9+CT3</f>
        <v>0</v>
      </c>
      <c r="CS3" s="15" t="n">
        <f aca="false">99</f>
        <v>99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1</f>
        <v>1</v>
      </c>
      <c r="CX3" s="15" t="n">
        <f aca="false">IF($U$9&lt;=2,1,0)</f>
        <v>1</v>
      </c>
      <c r="CY3" s="15" t="n">
        <f aca="false">IF(CT3&lt;=4,1,0)</f>
        <v>1</v>
      </c>
      <c r="CZ3" s="15" t="n">
        <f aca="false">IF(CL3&gt;=80-0.000000001,1,0)</f>
        <v>0</v>
      </c>
      <c r="DA3" s="15" t="n">
        <f aca="false">IF(CU3&gt;=120-0.000000001,1,0)</f>
        <v>0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32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111</v>
      </c>
      <c r="U4" s="15" t="n">
        <f aca="false">IF(COUNT($E$6:$H$25,$I$6:$I$10)&gt;0,1,0)</f>
        <v>0</v>
      </c>
      <c r="BZ4" s="15" t="n">
        <f aca="false">IFERROR(LARGE($AH$6:$AK$25,3),0)</f>
        <v>0</v>
      </c>
      <c r="CA4" s="15" t="n">
        <f aca="false">CA3+BZ4</f>
        <v>0</v>
      </c>
      <c r="CB4" s="15" t="n">
        <f aca="false">IFERROR(LARGE($AM$6:$AP$25,3),0)</f>
        <v>0</v>
      </c>
      <c r="CC4" s="15" t="n">
        <f aca="false">CC3+CB4</f>
        <v>0</v>
      </c>
    </row>
    <row r="5" customFormat="false" ht="30" hidden="false" customHeight="true" outlineLevel="0" collapsed="false">
      <c r="B5" s="17" t="s">
        <v>9</v>
      </c>
      <c r="C5" s="17" t="s">
        <v>112</v>
      </c>
      <c r="D5" s="18"/>
      <c r="E5" s="18" t="s">
        <v>113</v>
      </c>
      <c r="F5" s="18" t="s">
        <v>114</v>
      </c>
      <c r="G5" s="18" t="s">
        <v>115</v>
      </c>
      <c r="H5" s="18" t="s">
        <v>116</v>
      </c>
      <c r="I5" s="18" t="s">
        <v>11</v>
      </c>
      <c r="J5" s="18" t="s">
        <v>117</v>
      </c>
      <c r="L5" s="19" t="s">
        <v>118</v>
      </c>
      <c r="M5" s="20"/>
      <c r="N5" s="20"/>
      <c r="T5" s="15" t="s">
        <v>119</v>
      </c>
      <c r="U5" s="15" t="n">
        <f aca="false">AY6+AY7+AY8+AY9+AY10+AZ6+AZ7+AZ8+AZ9+AZ10+SUM($AA$12:$AA$25)</f>
        <v>0</v>
      </c>
      <c r="V5" s="15" t="n">
        <f aca="false">BG6+BG7+BG8+BG9+BG10+BH6+BH7+BH8+BH9+BH10+SUM($AE$12:$AE$25)</f>
        <v>17</v>
      </c>
      <c r="AH5" s="15" t="s">
        <v>120</v>
      </c>
      <c r="AM5" s="15" t="s">
        <v>121</v>
      </c>
      <c r="AR5" s="15" t="s">
        <v>122</v>
      </c>
      <c r="AW5" s="15" t="s">
        <v>123</v>
      </c>
      <c r="AX5" s="15" t="s">
        <v>124</v>
      </c>
      <c r="AY5" s="15" t="s">
        <v>125</v>
      </c>
      <c r="AZ5" s="15" t="s">
        <v>126</v>
      </c>
      <c r="BA5" s="15" t="s">
        <v>127</v>
      </c>
      <c r="BB5" s="15" t="s">
        <v>128</v>
      </c>
      <c r="BC5" s="15" t="s">
        <v>129</v>
      </c>
      <c r="BD5" s="15" t="s">
        <v>130</v>
      </c>
      <c r="BE5" s="15" t="s">
        <v>131</v>
      </c>
      <c r="BF5" s="15" t="s">
        <v>132</v>
      </c>
      <c r="BG5" s="15" t="s">
        <v>133</v>
      </c>
      <c r="BH5" s="15" t="s">
        <v>134</v>
      </c>
      <c r="BI5" s="15" t="s">
        <v>135</v>
      </c>
      <c r="BJ5" s="15" t="s">
        <v>136</v>
      </c>
      <c r="BK5" s="15" t="s">
        <v>137</v>
      </c>
      <c r="BL5" s="15" t="s">
        <v>138</v>
      </c>
      <c r="BN5" s="15" t="s">
        <v>139</v>
      </c>
      <c r="BO5" s="15" t="s">
        <v>140</v>
      </c>
      <c r="BP5" s="15" t="s">
        <v>141</v>
      </c>
      <c r="BQ5" s="15" t="s">
        <v>128</v>
      </c>
      <c r="BR5" s="15" t="s">
        <v>142</v>
      </c>
      <c r="BT5" s="15" t="s">
        <v>143</v>
      </c>
      <c r="BU5" s="15" t="s">
        <v>144</v>
      </c>
      <c r="BV5" s="15" t="s">
        <v>145</v>
      </c>
      <c r="BW5" s="15" t="s">
        <v>136</v>
      </c>
      <c r="BX5" s="15" t="s">
        <v>146</v>
      </c>
      <c r="BZ5" s="15" t="n">
        <f aca="false">IFERROR(LARGE($AH$6:$AK$25,4),0)</f>
        <v>0</v>
      </c>
      <c r="CA5" s="15" t="n">
        <f aca="false">CA4+BZ5</f>
        <v>0</v>
      </c>
      <c r="CB5" s="15" t="n">
        <f aca="false">IFERROR(LARGE($AM$6:$AP$25,4),0)</f>
        <v>0</v>
      </c>
      <c r="CC5" s="15" t="n">
        <f aca="false">CC4+CB5</f>
        <v>0</v>
      </c>
    </row>
    <row r="6" customFormat="false" ht="39.75" hidden="false" customHeight="true" outlineLevel="0" collapsed="false">
      <c r="B6" s="21" t="s">
        <v>315</v>
      </c>
      <c r="C6" s="22"/>
      <c r="D6" s="23" t="s">
        <v>148</v>
      </c>
      <c r="E6" s="24"/>
      <c r="F6" s="24"/>
      <c r="G6" s="24"/>
      <c r="H6" s="24"/>
      <c r="I6" s="25"/>
      <c r="J6" s="24"/>
      <c r="L6" s="26" t="s">
        <v>149</v>
      </c>
      <c r="M6" s="27" t="str">
        <f aca="false">IF($U$4=0,"Noch keine Eingaben – trag deine Punkte in die gelben Felder ein.",IF($U$35=1,"Endergebnis (alle Felder ausgefüllt)","Prognose: "&amp;$U$34&amp;" Felder offen, gefüllt mit deinem Schnitt von "&amp;FIXED($U$2,1)&amp;" Punkten"))</f>
        <v>Noch keine Eingaben – trag deine Punkte in die gelben Felder ein.</v>
      </c>
      <c r="N6" s="27"/>
      <c r="T6" s="15" t="s">
        <v>150</v>
      </c>
      <c r="U6" s="15" t="n">
        <f aca="false">BC6+BC7+BC8+BC9+BC10</f>
        <v>17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IF(BN6="","",IF(ISNUMBER($J$6),INT(((2*BN6+$J$6)/3*$U$15)+0.5+0.000000001),BN6*$U$15))</f>
        <v/>
      </c>
      <c r="BP6" s="15" t="n">
        <f aca="false">IF(BO6="",0,IF(BO6&gt;=5*$U$15-0.000000001,1,0))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IF(BT6="","",IF(ISNUMBER($J$6),INT(((2*BT6+$J$6)/3*$U$15)+0.5+0.000000001),BT6*$U$15))</f>
        <v>28</v>
      </c>
      <c r="BV6" s="15" t="n">
        <f aca="false">IF(BU6="",0,IF(BU6&gt;=5*$U$15-0.000000001,1,0))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IFERROR(LARGE($AH$6:$AK$25,5),0)</f>
        <v>0</v>
      </c>
      <c r="CA6" s="15" t="n">
        <f aca="false">CA5+BZ6</f>
        <v>0</v>
      </c>
      <c r="CB6" s="15" t="n">
        <f aca="false">IFERROR(LARGE($AM$6:$AP$25,5),0)</f>
        <v>0</v>
      </c>
      <c r="CC6" s="15" t="n">
        <f aca="false">CC5+CB6</f>
        <v>0</v>
      </c>
    </row>
    <row r="7" customFormat="false" ht="37.5" hidden="false" customHeight="true" outlineLevel="0" collapsed="false">
      <c r="B7" s="21" t="s">
        <v>316</v>
      </c>
      <c r="C7" s="22"/>
      <c r="D7" s="23" t="s">
        <v>148</v>
      </c>
      <c r="E7" s="24"/>
      <c r="F7" s="24"/>
      <c r="G7" s="24"/>
      <c r="H7" s="24"/>
      <c r="I7" s="25"/>
      <c r="J7" s="24"/>
      <c r="L7" s="26" t="s">
        <v>152</v>
      </c>
      <c r="M7" s="28" t="str">
        <f aca="false">IF($U$4=0,"",$U$36)</f>
        <v/>
      </c>
      <c r="N7" s="29" t="s">
        <v>153</v>
      </c>
      <c r="T7" s="15" t="s">
        <v>154</v>
      </c>
      <c r="U7" s="15" t="n">
        <f aca="false">COUNT($AH$6:$AK$25)</f>
        <v>0</v>
      </c>
      <c r="V7" s="15" t="n">
        <f aca="false">COUNT($AM$6:$AP$25)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IF(BN7="","",IF(ISNUMBER($J$7),INT(((2*BN7+$J$7)/3*$U$15)+0.5+0.000000001),BN7*$U$15))</f>
        <v/>
      </c>
      <c r="BP7" s="15" t="n">
        <f aca="false">IF(BO7="",0,IF(BO7&gt;=5*$U$15-0.000000001,1,0))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IF(BT7="","",IF(ISNUMBER($J$7),INT(((2*BT7+$J$7)/3*$U$15)+0.5+0.000000001),BT7*$U$15))</f>
        <v>28</v>
      </c>
      <c r="BV7" s="15" t="n">
        <f aca="false">IF(BU7="",0,IF(BU7&gt;=5*$U$15-0.000000001,1,0))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IFERROR(LARGE($AH$6:$AK$25,6),0)</f>
        <v>0</v>
      </c>
      <c r="CA7" s="15" t="n">
        <f aca="false">CA6+BZ7</f>
        <v>0</v>
      </c>
      <c r="CB7" s="15" t="n">
        <f aca="false">IFERROR(LARGE($AM$6:$AP$25,6),0)</f>
        <v>0</v>
      </c>
      <c r="CC7" s="15" t="n">
        <f aca="false">CC6+CB7</f>
        <v>0</v>
      </c>
    </row>
    <row r="8" customFormat="false" ht="37.5" hidden="false" customHeight="true" outlineLevel="0" collapsed="false">
      <c r="B8" s="21" t="s">
        <v>317</v>
      </c>
      <c r="C8" s="22"/>
      <c r="D8" s="23" t="s">
        <v>148</v>
      </c>
      <c r="E8" s="24"/>
      <c r="F8" s="24"/>
      <c r="G8" s="24"/>
      <c r="H8" s="24"/>
      <c r="I8" s="25"/>
      <c r="J8" s="24"/>
      <c r="L8" s="26" t="s">
        <v>156</v>
      </c>
      <c r="M8" s="28" t="str">
        <f aca="false">IF($U$4=0,"",$U$59)</f>
        <v/>
      </c>
      <c r="N8" s="29" t="s">
        <v>157</v>
      </c>
      <c r="T8" s="15" t="s">
        <v>158</v>
      </c>
      <c r="U8" s="15" t="n">
        <f aca="false">COUNTIF($AH$6:$AK$25,"&gt;=5")</f>
        <v>0</v>
      </c>
      <c r="V8" s="15" t="n">
        <f aca="false">COUNTIF($AM$6:$AP$25,"&gt;=5")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IF(BN8="","",IF(ISNUMBER($J$8),INT(((2*BN8+$J$8)/3*$U$15)+0.5+0.000000001),BN8*$U$15))</f>
        <v/>
      </c>
      <c r="BP8" s="15" t="n">
        <f aca="false">IF(BO8="",0,IF(BO8&gt;=5*$U$15-0.000000001,1,0))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IF(BT8="","",IF(ISNUMBER($J$8),INT(((2*BT8+$J$8)/3*$U$15)+0.5+0.000000001),BT8*$U$15))</f>
        <v>28</v>
      </c>
      <c r="BV8" s="15" t="n">
        <f aca="false">IF(BU8="",0,IF(BU8&gt;=5*$U$15-0.000000001,1,0))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IFERROR(LARGE($AH$6:$AK$25,7),0)</f>
        <v>0</v>
      </c>
      <c r="CA8" s="15" t="n">
        <f aca="false">CA7+BZ8</f>
        <v>0</v>
      </c>
      <c r="CB8" s="15" t="n">
        <f aca="false">IFERROR(LARGE($AM$6:$AP$25,7),0)</f>
        <v>0</v>
      </c>
      <c r="CC8" s="15" t="n">
        <f aca="false">CC7+CB8</f>
        <v>0</v>
      </c>
    </row>
    <row r="9" customFormat="false" ht="37.5" hidden="false" customHeight="true" outlineLevel="0" collapsed="false">
      <c r="B9" s="21" t="s">
        <v>318</v>
      </c>
      <c r="C9" s="22"/>
      <c r="D9" s="23" t="s">
        <v>148</v>
      </c>
      <c r="E9" s="24"/>
      <c r="F9" s="24"/>
      <c r="G9" s="24"/>
      <c r="H9" s="24"/>
      <c r="I9" s="25"/>
      <c r="J9" s="30" t="s">
        <v>160</v>
      </c>
      <c r="L9" s="31" t="s">
        <v>161</v>
      </c>
      <c r="M9" s="32" t="str">
        <f aca="false">IF($U$4=0,"",$U$64)</f>
        <v/>
      </c>
      <c r="N9" s="29" t="s">
        <v>162</v>
      </c>
      <c r="T9" s="15" t="s">
        <v>163</v>
      </c>
      <c r="U9" s="15" t="n">
        <f aca="false">BA6+BA7</f>
        <v>0</v>
      </c>
      <c r="V9" s="15" t="n">
        <f aca="false">BI6+BI7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IF(BN9="","",BN9*$U$15)</f>
        <v/>
      </c>
      <c r="BP9" s="15" t="n">
        <f aca="false">IF(BO9="",0,IF(BO9&gt;=5*$U$15-0.000000001,1,0))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IF(BT9="","",BT9*$U$15)</f>
        <v>28</v>
      </c>
      <c r="BV9" s="15" t="n">
        <f aca="false">IF(BU9="",0,IF(BU9&gt;=5*$U$15-0.000000001,1,0))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IFERROR(LARGE($AH$6:$AK$25,8),0)</f>
        <v>0</v>
      </c>
      <c r="CA9" s="15" t="n">
        <f aca="false">CA8+BZ9</f>
        <v>0</v>
      </c>
      <c r="CB9" s="15" t="n">
        <f aca="false">IFERROR(LARGE($AM$6:$AP$25,8),0)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21" t="s">
        <v>319</v>
      </c>
      <c r="C10" s="22"/>
      <c r="D10" s="23" t="s">
        <v>148</v>
      </c>
      <c r="E10" s="52"/>
      <c r="F10" s="52"/>
      <c r="G10" s="52"/>
      <c r="H10" s="24"/>
      <c r="I10" s="25"/>
      <c r="J10" s="30" t="s">
        <v>160</v>
      </c>
      <c r="L10" s="31" t="s">
        <v>165</v>
      </c>
      <c r="M10" s="33" t="str">
        <f aca="false">IF($U$4=0,"",IF($U$66=1,$U$67/10,"nicht bestanden"))</f>
        <v/>
      </c>
      <c r="N10" s="29"/>
      <c r="T10" s="15" t="s">
        <v>166</v>
      </c>
      <c r="U10" s="15" t="n">
        <f aca="false">BA8+BA9+BA10+SUM($AB$12:$AB$25)</f>
        <v>0</v>
      </c>
      <c r="V10" s="15" t="n">
        <f aca="false">BI8+BI9+BI10+SUM($AF$12:$AF$25)</f>
        <v>0</v>
      </c>
      <c r="AH10" s="15" t="str">
        <f aca="false">IF(ISNUMBER(E10),IF(E10=0,"",E10),"")</f>
        <v/>
      </c>
      <c r="AI10" s="15" t="str">
        <f aca="false">IF(ISNUMBER(F10),IF(F10=0,"",F10),"")</f>
        <v/>
      </c>
      <c r="AJ10" s="15" t="str">
        <f aca="false">IF(ISNUMBER(G10),IF(G10=0,"",G10),"")</f>
        <v/>
      </c>
      <c r="AM10" s="15" t="str">
        <f aca="false">IF(ISNUMBER(E10),IF(E10=0,"",E10),"")</f>
        <v/>
      </c>
      <c r="AN10" s="15" t="str">
        <f aca="false">IF(ISNUMBER(F10),IF(F10=0,"",F10),"")</f>
        <v/>
      </c>
      <c r="AO10" s="15" t="str">
        <f aca="false">IF(ISNUMBER(G10),IF(G10=0,"",G10),"")</f>
        <v/>
      </c>
      <c r="AR10" s="15" t="n">
        <f aca="false">IF(AH10="",0,IF(IF($U$35=1,COUNTIF($AH$6:$AK$25,"&gt;"&amp;AH10),COUNTIF($AM$6:$AP$25,"&gt;"&amp;AH10))+COUNTIF($AH$6:$AK$9,AH10)+1&lt;=$U$45,1,0))</f>
        <v>0</v>
      </c>
      <c r="AS10" s="15" t="n">
        <f aca="false">IF(AI10="",0,IF(IF($U$35=1,COUNTIF($AH$6:$AK$25,"&gt;"&amp;AI10),COUNTIF($AM$6:$AP$25,"&gt;"&amp;AI10))+COUNTIF($AH$6:$AK$9,AI10)+COUNTIF($AH10:AH10,AI10)+1&lt;=$U$45,1,0))</f>
        <v>0</v>
      </c>
      <c r="AT10" s="15" t="n">
        <f aca="false">IF(AJ10="",0,IF(IF($U$35=1,COUNTIF($AH$6:$AK$25,"&gt;"&amp;AJ10),COUNTIF($AM$6:$AP$25,"&gt;"&amp;AJ10))+COUNTIF($AH$6:$AK$9,AJ10)+COUNTIF($AH10:AI10,AJ10)+1&lt;=$U$45,1,0))</f>
        <v>0</v>
      </c>
      <c r="AU10" s="15" t="n">
        <f aca="false">IF(ISNUMBER(H10),1,0)</f>
        <v>0</v>
      </c>
      <c r="AW10" s="15" t="n">
        <f aca="false">0</f>
        <v>0</v>
      </c>
      <c r="AX10" s="15" t="n">
        <f aca="false">SUM(H10:H10)</f>
        <v>0</v>
      </c>
      <c r="AY10" s="15" t="n">
        <f aca="false">0</f>
        <v>0</v>
      </c>
      <c r="AZ10" s="15" t="n">
        <f aca="false">COUNT(H10:H10)</f>
        <v>0</v>
      </c>
      <c r="BA10" s="15" t="n">
        <f aca="false">COUNTIF(H10:H10,"&lt;5")</f>
        <v>0</v>
      </c>
      <c r="BB10" s="15" t="n">
        <f aca="false">COUNTIF(H10:H10,0)</f>
        <v>0</v>
      </c>
      <c r="BC10" s="15" t="n">
        <f aca="false">1-COUNT(H10:H10)</f>
        <v>1</v>
      </c>
      <c r="BD10" s="15" t="n">
        <f aca="false">SUM(E10:H10)</f>
        <v>0</v>
      </c>
      <c r="BE10" s="15" t="n">
        <f aca="false">0</f>
        <v>0</v>
      </c>
      <c r="BF10" s="15" t="n">
        <f aca="false">SUM(H10:H10)+$U$2*(1-COUNT(H10:H10))</f>
        <v>7</v>
      </c>
      <c r="BG10" s="15" t="n">
        <f aca="false">0</f>
        <v>0</v>
      </c>
      <c r="BH10" s="15" t="n">
        <f aca="false">1</f>
        <v>1</v>
      </c>
      <c r="BI10" s="15" t="n">
        <f aca="false">COUNTIF(H10:H10,"&lt;5")+IF($U$2&lt;5,1,0)*(1-COUNT(H10:H10))</f>
        <v>0</v>
      </c>
      <c r="BJ10" s="15" t="n">
        <f aca="false">COUNTIF(H10:H10,0)</f>
        <v>0</v>
      </c>
      <c r="BK10" s="15" t="n">
        <f aca="false">0</f>
        <v>0</v>
      </c>
      <c r="BL10" s="15" t="n">
        <f aca="false">SUM(E10:H10)+$U$2*(4-COUNT(E10:H10))</f>
        <v>28</v>
      </c>
      <c r="BN10" s="15" t="str">
        <f aca="false">IF(ISNUMBER($I$10),$I$10,"")</f>
        <v/>
      </c>
      <c r="BO10" s="15" t="str">
        <f aca="false">IF(BN10="","",BN10*$U$15)</f>
        <v/>
      </c>
      <c r="BP10" s="15" t="n">
        <f aca="false">IF(BO10="",0,IF(BO10&gt;=5*$U$15-0.000000001,1,0))</f>
        <v>0</v>
      </c>
      <c r="BQ10" s="15" t="n">
        <f aca="false">IF(BO10="",0,IF(BO10&lt;0.000000001,1,0))</f>
        <v>0</v>
      </c>
      <c r="BR10" s="15" t="n">
        <f aca="false">0</f>
        <v>0</v>
      </c>
      <c r="BT10" s="15" t="n">
        <f aca="false">IF(ISNUMBER($I$10),$I$10,$U$3)</f>
        <v>7</v>
      </c>
      <c r="BU10" s="15" t="n">
        <f aca="false">IF(BT10="","",BT10*$U$15)</f>
        <v>28</v>
      </c>
      <c r="BV10" s="15" t="n">
        <f aca="false">IF(BU10="",0,IF(BU10&gt;=5*$U$15-0.000000001,1,0))</f>
        <v>1</v>
      </c>
      <c r="BW10" s="15" t="n">
        <f aca="false">IF(BU10="",0,IF(BU10&lt;0.000000001,1,0))</f>
        <v>0</v>
      </c>
      <c r="BX10" s="15" t="n">
        <f aca="false">0</f>
        <v>0</v>
      </c>
      <c r="BZ10" s="15" t="n">
        <f aca="false">IFERROR(LARGE($AH$6:$AK$25,9),0)</f>
        <v>0</v>
      </c>
      <c r="CA10" s="15" t="n">
        <f aca="false">CA9+BZ10</f>
        <v>0</v>
      </c>
      <c r="CB10" s="15" t="n">
        <f aca="false">IFERROR(LARGE($AM$6:$AP$25,9),0)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6" t="s">
        <v>167</v>
      </c>
      <c r="C11" s="6" t="s">
        <v>112</v>
      </c>
      <c r="D11" s="34" t="s">
        <v>168</v>
      </c>
      <c r="E11" s="35" t="s">
        <v>113</v>
      </c>
      <c r="F11" s="35" t="s">
        <v>114</v>
      </c>
      <c r="G11" s="35" t="s">
        <v>115</v>
      </c>
      <c r="H11" s="35" t="s">
        <v>116</v>
      </c>
      <c r="I11" s="20"/>
      <c r="J11" s="20"/>
      <c r="L11" s="26" t="s">
        <v>169</v>
      </c>
      <c r="M11" s="28" t="str">
        <f aca="false">IF($U$4=0,"",IF($U$68="","–",$U$68))</f>
        <v/>
      </c>
      <c r="N11" s="29" t="str">
        <f aca="false">IF($U$4=0,"",IF($U$67="","Punkte bis 300",IF($U$68="","Bestnote erreicht","Punkte → "&amp;FIXED(($U$67-1)/10,1))))</f>
        <v/>
      </c>
      <c r="T11" s="15" t="s">
        <v>170</v>
      </c>
      <c r="U11" s="15" t="n">
        <f aca="false">AW8+AW9+AW10+AX8+AX9+AX10+SUM($Z$12:$Z$25)</f>
        <v>0</v>
      </c>
      <c r="V11" s="15" t="n">
        <f aca="false">BE8+BE9+BE10+BF8+BF9+BF10+SUM($AD$12:$AD$25)</f>
        <v>63</v>
      </c>
      <c r="X11" s="15" t="s">
        <v>171</v>
      </c>
      <c r="Y11" s="15" t="s">
        <v>172</v>
      </c>
      <c r="Z11" s="15" t="s">
        <v>173</v>
      </c>
      <c r="AA11" s="15" t="s">
        <v>174</v>
      </c>
      <c r="AB11" s="15" t="s">
        <v>127</v>
      </c>
      <c r="AC11" s="15" t="s">
        <v>128</v>
      </c>
      <c r="AD11" s="15" t="s">
        <v>175</v>
      </c>
      <c r="AE11" s="15" t="s">
        <v>176</v>
      </c>
      <c r="AF11" s="15" t="s">
        <v>135</v>
      </c>
      <c r="BZ11" s="15" t="n">
        <f aca="false">IFERROR(LARGE($AH$6:$AK$25,10),0)</f>
        <v>0</v>
      </c>
      <c r="CA11" s="15" t="n">
        <f aca="false">CA10+BZ11</f>
        <v>0</v>
      </c>
      <c r="CB11" s="15" t="n">
        <f aca="false">IFERROR(LARGE($AM$6:$AP$25,10),0)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6" t="s">
        <v>177</v>
      </c>
      <c r="C12" s="37"/>
      <c r="D12" s="38"/>
      <c r="E12" s="24"/>
      <c r="F12" s="24"/>
      <c r="G12" s="24"/>
      <c r="H12" s="24"/>
      <c r="I12" s="39"/>
      <c r="J12" s="39"/>
      <c r="L12" s="26" t="s">
        <v>178</v>
      </c>
      <c r="M12" s="28" t="str">
        <f aca="false">IF(OR($U$4=0,$U$69=""),"",$U$69)</f>
        <v/>
      </c>
      <c r="N12" s="29" t="str">
        <f aca="false">IF(OR($U$4=0,$U$69=""),"","Punkte Luft")</f>
        <v/>
      </c>
      <c r="T12" s="15" t="s">
        <v>179</v>
      </c>
      <c r="U12" s="15" t="n">
        <f aca="false">BB6+BB7+BB8+BB9+BB10+SUM($AC$12:$AC$25)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IF(Y12=1,IF(ISNUMBER(E12),1,0),IF(AH12="",0,IF(IF($U$35=1,COUNTIF($AH$6:$AK$25,"&gt;"&amp;AH12),COUNTIF($AM$6:$AP$25,"&gt;"&amp;AH12))+COUNTIF($AH$6:$AK$11,AH12)+1&lt;=$U$45,1,0)))</f>
        <v>0</v>
      </c>
      <c r="AS12" s="15" t="n">
        <f aca="false">IF(Y12=1,IF(ISNUMBER(F12),1,0),IF(AI12="",0,IF(IF($U$35=1,COUNTIF($AH$6:$AK$25,"&gt;"&amp;AI12),COUNTIF($AM$6:$AP$25,"&gt;"&amp;AI12))+COUNTIF($AH$6:$AK$11,AI12)+COUNTIF($AH12:AH12,AI12)+1&lt;=$U$45,1,0)))</f>
        <v>0</v>
      </c>
      <c r="AT12" s="15" t="n">
        <f aca="false">IF(Y12=1,IF(ISNUMBER(G12),1,0),IF(AJ12="",0,IF(IF($U$35=1,COUNTIF($AH$6:$AK$25,"&gt;"&amp;AJ12),COUNTIF($AM$6:$AP$25,"&gt;"&amp;AJ12))+COUNTIF($AH$6:$AK$11,AJ12)+COUNTIF($AH12:AI12,AJ12)+1&lt;=$U$45,1,0)))</f>
        <v>0</v>
      </c>
      <c r="AU12" s="15" t="n">
        <f aca="false">IF(Y12=1,IF(ISNUMBER(H12),1,0),IF(AK12="",0,IF(IF($U$35=1,COUNTIF($AH$6:$AK$25,"&gt;"&amp;AK12),COUNTIF($AM$6:$AP$25,"&gt;"&amp;AK12))+COUNTIF($AH$6:$AK$11,AK12)+COUNTIF($AH12:AJ12,AK12)+1&lt;=$U$45,1,0)))</f>
        <v>0</v>
      </c>
      <c r="BZ12" s="15" t="n">
        <f aca="false">IFERROR(LARGE($AH$6:$AK$25,11),0)</f>
        <v>0</v>
      </c>
      <c r="CA12" s="15" t="n">
        <f aca="false">CA11+BZ12</f>
        <v>0</v>
      </c>
      <c r="CB12" s="15" t="n">
        <f aca="false">IFERROR(LARGE($AM$6:$AP$25,11),0)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180</v>
      </c>
      <c r="C13" s="37"/>
      <c r="D13" s="38"/>
      <c r="E13" s="24"/>
      <c r="F13" s="24"/>
      <c r="G13" s="24"/>
      <c r="H13" s="24"/>
      <c r="I13" s="39"/>
      <c r="J13" s="39"/>
      <c r="L13" s="26" t="s">
        <v>181</v>
      </c>
      <c r="M13" s="28" t="str">
        <f aca="false">IF($U$4=0,"",$U$37)</f>
        <v/>
      </c>
      <c r="N13" s="29" t="str">
        <f aca="false">IF($U$4=0,"","Summe der eingebrachten Punkte")</f>
        <v/>
      </c>
      <c r="T13" s="15" t="s">
        <v>182</v>
      </c>
      <c r="U13" s="15" t="n">
        <f aca="false">MATCH(MAX($DH$3:$DH$3),$DH$3:$DH$3,0)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IF(Y13=1,IF(ISNUMBER(E13),1,0),IF(AH13="",0,IF(IF($U$35=1,COUNTIF($AH$6:$AK$25,"&gt;"&amp;AH13),COUNTIF($AM$6:$AP$25,"&gt;"&amp;AH13))+COUNTIF($AH$6:$AK$12,AH13)+1&lt;=$U$45,1,0)))</f>
        <v>0</v>
      </c>
      <c r="AS13" s="15" t="n">
        <f aca="false">IF(Y13=1,IF(ISNUMBER(F13),1,0),IF(AI13="",0,IF(IF($U$35=1,COUNTIF($AH$6:$AK$25,"&gt;"&amp;AI13),COUNTIF($AM$6:$AP$25,"&gt;"&amp;AI13))+COUNTIF($AH$6:$AK$12,AI13)+COUNTIF($AH13:AH13,AI13)+1&lt;=$U$45,1,0)))</f>
        <v>0</v>
      </c>
      <c r="AT13" s="15" t="n">
        <f aca="false">IF(Y13=1,IF(ISNUMBER(G13),1,0),IF(AJ13="",0,IF(IF($U$35=1,COUNTIF($AH$6:$AK$25,"&gt;"&amp;AJ13),COUNTIF($AM$6:$AP$25,"&gt;"&amp;AJ13))+COUNTIF($AH$6:$AK$12,AJ13)+COUNTIF($AH13:AI13,AJ13)+1&lt;=$U$45,1,0)))</f>
        <v>0</v>
      </c>
      <c r="AU13" s="15" t="n">
        <f aca="false">IF(Y13=1,IF(ISNUMBER(H13),1,0),IF(AK13="",0,IF(IF($U$35=1,COUNTIF($AH$6:$AK$25,"&gt;"&amp;AK13),COUNTIF($AM$6:$AP$25,"&gt;"&amp;AK13))+COUNTIF($AH$6:$AK$12,AK13)+COUNTIF($AH13:AJ13,AK13)+1&lt;=$U$45,1,0)))</f>
        <v>0</v>
      </c>
      <c r="BZ13" s="15" t="n">
        <f aca="false">IFERROR(LARGE($AH$6:$AK$25,12),0)</f>
        <v>0</v>
      </c>
      <c r="CA13" s="15" t="n">
        <f aca="false">CA12+BZ13</f>
        <v>0</v>
      </c>
      <c r="CB13" s="15" t="n">
        <f aca="false">IFERROR(LARGE($AM$6:$AP$25,12),0)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183</v>
      </c>
      <c r="C14" s="37"/>
      <c r="D14" s="38"/>
      <c r="E14" s="24"/>
      <c r="F14" s="24"/>
      <c r="G14" s="24"/>
      <c r="H14" s="24"/>
      <c r="I14" s="39"/>
      <c r="J14" s="39"/>
      <c r="L14" s="26" t="s">
        <v>184</v>
      </c>
      <c r="M14" s="28" t="str">
        <f aca="false">IF($U$4=0,"",$U$38)</f>
        <v/>
      </c>
      <c r="N14" s="29" t="s">
        <v>320</v>
      </c>
      <c r="T14" s="15" t="s">
        <v>185</v>
      </c>
      <c r="U14" s="15" t="n">
        <f aca="false">MATCH(MAX($DH$23:$DH$23),$DH$23:$DH$23,0)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IF(Y14=1,IF(ISNUMBER(E14),1,0),IF(AH14="",0,IF(IF($U$35=1,COUNTIF($AH$6:$AK$25,"&gt;"&amp;AH14),COUNTIF($AM$6:$AP$25,"&gt;"&amp;AH14))+COUNTIF($AH$6:$AK$13,AH14)+1&lt;=$U$45,1,0)))</f>
        <v>0</v>
      </c>
      <c r="AS14" s="15" t="n">
        <f aca="false">IF(Y14=1,IF(ISNUMBER(F14),1,0),IF(AI14="",0,IF(IF($U$35=1,COUNTIF($AH$6:$AK$25,"&gt;"&amp;AI14),COUNTIF($AM$6:$AP$25,"&gt;"&amp;AI14))+COUNTIF($AH$6:$AK$13,AI14)+COUNTIF($AH14:AH14,AI14)+1&lt;=$U$45,1,0)))</f>
        <v>0</v>
      </c>
      <c r="AT14" s="15" t="n">
        <f aca="false">IF(Y14=1,IF(ISNUMBER(G14),1,0),IF(AJ14="",0,IF(IF($U$35=1,COUNTIF($AH$6:$AK$25,"&gt;"&amp;AJ14),COUNTIF($AM$6:$AP$25,"&gt;"&amp;AJ14))+COUNTIF($AH$6:$AK$13,AJ14)+COUNTIF($AH14:AI14,AJ14)+1&lt;=$U$45,1,0)))</f>
        <v>0</v>
      </c>
      <c r="AU14" s="15" t="n">
        <f aca="false">IF(Y14=1,IF(ISNUMBER(H14),1,0),IF(AK14="",0,IF(IF($U$35=1,COUNTIF($AH$6:$AK$25,"&gt;"&amp;AK14),COUNTIF($AM$6:$AP$25,"&gt;"&amp;AK14))+COUNTIF($AH$6:$AK$13,AK14)+COUNTIF($AH14:AJ14,AK14)+1&lt;=$U$45,1,0)))</f>
        <v>0</v>
      </c>
      <c r="BZ14" s="15" t="n">
        <f aca="false">IFERROR(LARGE($AH$6:$AK$25,13),0)</f>
        <v>0</v>
      </c>
      <c r="CA14" s="15" t="n">
        <f aca="false">CA13+BZ14</f>
        <v>0</v>
      </c>
      <c r="CB14" s="15" t="n">
        <f aca="false">IFERROR(LARGE($AM$6:$AP$25,13),0)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186</v>
      </c>
      <c r="C15" s="37"/>
      <c r="D15" s="38"/>
      <c r="E15" s="24"/>
      <c r="F15" s="24"/>
      <c r="G15" s="24"/>
      <c r="H15" s="24"/>
      <c r="I15" s="39"/>
      <c r="J15" s="39"/>
      <c r="L15" s="26" t="s">
        <v>187</v>
      </c>
      <c r="M15" s="28" t="str">
        <f aca="false">IF($U$4=0,"","+"&amp;$U$15)</f>
        <v/>
      </c>
      <c r="N15" s="29" t="s">
        <v>188</v>
      </c>
      <c r="T15" s="15" t="s">
        <v>189</v>
      </c>
      <c r="U15" s="15" t="n">
        <f aca="false">4</f>
        <v>4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IF(Y15=1,IF(ISNUMBER(E15),1,0),IF(AH15="",0,IF(IF($U$35=1,COUNTIF($AH$6:$AK$25,"&gt;"&amp;AH15),COUNTIF($AM$6:$AP$25,"&gt;"&amp;AH15))+COUNTIF($AH$6:$AK$14,AH15)+1&lt;=$U$45,1,0)))</f>
        <v>0</v>
      </c>
      <c r="AS15" s="15" t="n">
        <f aca="false">IF(Y15=1,IF(ISNUMBER(F15),1,0),IF(AI15="",0,IF(IF($U$35=1,COUNTIF($AH$6:$AK$25,"&gt;"&amp;AI15),COUNTIF($AM$6:$AP$25,"&gt;"&amp;AI15))+COUNTIF($AH$6:$AK$14,AI15)+COUNTIF($AH15:AH15,AI15)+1&lt;=$U$45,1,0)))</f>
        <v>0</v>
      </c>
      <c r="AT15" s="15" t="n">
        <f aca="false">IF(Y15=1,IF(ISNUMBER(G15),1,0),IF(AJ15="",0,IF(IF($U$35=1,COUNTIF($AH$6:$AK$25,"&gt;"&amp;AJ15),COUNTIF($AM$6:$AP$25,"&gt;"&amp;AJ15))+COUNTIF($AH$6:$AK$14,AJ15)+COUNTIF($AH15:AI15,AJ15)+1&lt;=$U$45,1,0)))</f>
        <v>0</v>
      </c>
      <c r="AU15" s="15" t="n">
        <f aca="false">IF(Y15=1,IF(ISNUMBER(H15),1,0),IF(AK15="",0,IF(IF($U$35=1,COUNTIF($AH$6:$AK$25,"&gt;"&amp;AK15),COUNTIF($AM$6:$AP$25,"&gt;"&amp;AK15))+COUNTIF($AH$6:$AK$14,AK15)+COUNTIF($AH15:AJ15,AK15)+1&lt;=$U$45,1,0)))</f>
        <v>0</v>
      </c>
      <c r="BZ15" s="15" t="n">
        <f aca="false">IFERROR(LARGE($AH$6:$AK$25,14),0)</f>
        <v>0</v>
      </c>
      <c r="CA15" s="15" t="n">
        <f aca="false">CA14+BZ15</f>
        <v>0</v>
      </c>
      <c r="CB15" s="15" t="n">
        <f aca="false">IFERROR(LARGE($AM$6:$AP$25,14),0)</f>
        <v>0</v>
      </c>
      <c r="CC15" s="15" t="n">
        <f aca="false">CC14+CB15</f>
        <v>0</v>
      </c>
    </row>
    <row r="16" customFormat="false" ht="22.35" hidden="false" customHeight="false" outlineLevel="0" collapsed="false">
      <c r="B16" s="36" t="s">
        <v>190</v>
      </c>
      <c r="C16" s="37"/>
      <c r="D16" s="38"/>
      <c r="E16" s="24"/>
      <c r="F16" s="24"/>
      <c r="G16" s="24"/>
      <c r="H16" s="24"/>
      <c r="I16" s="39"/>
      <c r="J16" s="39"/>
      <c r="L16" s="26" t="s">
        <v>191</v>
      </c>
      <c r="M16" s="28" t="str">
        <f aca="false">IF($U$4=0,"","+1")</f>
        <v/>
      </c>
      <c r="N16" s="29" t="s">
        <v>294</v>
      </c>
      <c r="T16" s="15" t="s">
        <v>193</v>
      </c>
      <c r="U16" s="15" t="n">
        <f aca="false">MIN(300,INT((SUM(BO6,BO7,BO8,BO9,BO10))+0.5+0.000000001))</f>
        <v>0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IF(Y16=1,IF(ISNUMBER(E16),1,0),IF(AH16="",0,IF(IF($U$35=1,COUNTIF($AH$6:$AK$25,"&gt;"&amp;AH16),COUNTIF($AM$6:$AP$25,"&gt;"&amp;AH16))+COUNTIF($AH$6:$AK$15,AH16)+1&lt;=$U$45,1,0)))</f>
        <v>0</v>
      </c>
      <c r="AS16" s="15" t="n">
        <f aca="false">IF(Y16=1,IF(ISNUMBER(F16),1,0),IF(AI16="",0,IF(IF($U$35=1,COUNTIF($AH$6:$AK$25,"&gt;"&amp;AI16),COUNTIF($AM$6:$AP$25,"&gt;"&amp;AI16))+COUNTIF($AH$6:$AK$15,AI16)+COUNTIF($AH16:AH16,AI16)+1&lt;=$U$45,1,0)))</f>
        <v>0</v>
      </c>
      <c r="AT16" s="15" t="n">
        <f aca="false">IF(Y16=1,IF(ISNUMBER(G16),1,0),IF(AJ16="",0,IF(IF($U$35=1,COUNTIF($AH$6:$AK$25,"&gt;"&amp;AJ16),COUNTIF($AM$6:$AP$25,"&gt;"&amp;AJ16))+COUNTIF($AH$6:$AK$15,AJ16)+COUNTIF($AH16:AI16,AJ16)+1&lt;=$U$45,1,0)))</f>
        <v>0</v>
      </c>
      <c r="AU16" s="15" t="n">
        <f aca="false">IF(Y16=1,IF(ISNUMBER(H16),1,0),IF(AK16="",0,IF(IF($U$35=1,COUNTIF($AH$6:$AK$25,"&gt;"&amp;AK16),COUNTIF($AM$6:$AP$25,"&gt;"&amp;AK16))+COUNTIF($AH$6:$AK$15,AK16)+COUNTIF($AH16:AJ16,AK16)+1&lt;=$U$45,1,0)))</f>
        <v>0</v>
      </c>
      <c r="BZ16" s="15" t="n">
        <f aca="false">IFERROR(LARGE($AH$6:$AK$25,15),0)</f>
        <v>0</v>
      </c>
      <c r="CA16" s="15" t="n">
        <f aca="false">CA15+BZ16</f>
        <v>0</v>
      </c>
      <c r="CB16" s="15" t="n">
        <f aca="false">IFERROR(LARGE($AM$6:$AP$25,15),0)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194</v>
      </c>
      <c r="C17" s="37"/>
      <c r="D17" s="38"/>
      <c r="E17" s="24"/>
      <c r="F17" s="24"/>
      <c r="G17" s="24"/>
      <c r="H17" s="24"/>
      <c r="I17" s="39"/>
      <c r="J17" s="39"/>
      <c r="T17" s="15" t="s">
        <v>195</v>
      </c>
      <c r="U17" s="15" t="n">
        <f aca="false">SUM(BP6,BP7,BP8,BP9,BP10)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IF(Y17=1,IF(ISNUMBER(E17),1,0),IF(AH17="",0,IF(IF($U$35=1,COUNTIF($AH$6:$AK$25,"&gt;"&amp;AH17),COUNTIF($AM$6:$AP$25,"&gt;"&amp;AH17))+COUNTIF($AH$6:$AK$16,AH17)+1&lt;=$U$45,1,0)))</f>
        <v>0</v>
      </c>
      <c r="AS17" s="15" t="n">
        <f aca="false">IF(Y17=1,IF(ISNUMBER(F17),1,0),IF(AI17="",0,IF(IF($U$35=1,COUNTIF($AH$6:$AK$25,"&gt;"&amp;AI17),COUNTIF($AM$6:$AP$25,"&gt;"&amp;AI17))+COUNTIF($AH$6:$AK$16,AI17)+COUNTIF($AH17:AH17,AI17)+1&lt;=$U$45,1,0)))</f>
        <v>0</v>
      </c>
      <c r="AT17" s="15" t="n">
        <f aca="false">IF(Y17=1,IF(ISNUMBER(G17),1,0),IF(AJ17="",0,IF(IF($U$35=1,COUNTIF($AH$6:$AK$25,"&gt;"&amp;AJ17),COUNTIF($AM$6:$AP$25,"&gt;"&amp;AJ17))+COUNTIF($AH$6:$AK$16,AJ17)+COUNTIF($AH17:AI17,AJ17)+1&lt;=$U$45,1,0)))</f>
        <v>0</v>
      </c>
      <c r="AU17" s="15" t="n">
        <f aca="false">IF(Y17=1,IF(ISNUMBER(H17),1,0),IF(AK17="",0,IF(IF($U$35=1,COUNTIF($AH$6:$AK$25,"&gt;"&amp;AK17),COUNTIF($AM$6:$AP$25,"&gt;"&amp;AK17))+COUNTIF($AH$6:$AK$16,AK17)+COUNTIF($AH17:AJ17,AK17)+1&lt;=$U$45,1,0)))</f>
        <v>0</v>
      </c>
      <c r="BZ17" s="15" t="n">
        <f aca="false">IFERROR(LARGE($AH$6:$AK$25,16),0)</f>
        <v>0</v>
      </c>
      <c r="CA17" s="15" t="n">
        <f aca="false">CA16+BZ17</f>
        <v>0</v>
      </c>
      <c r="CB17" s="15" t="n">
        <f aca="false">IFERROR(LARGE($AM$6:$AP$25,16),0)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196</v>
      </c>
      <c r="C18" s="37"/>
      <c r="D18" s="38"/>
      <c r="E18" s="24"/>
      <c r="F18" s="24"/>
      <c r="G18" s="24"/>
      <c r="H18" s="24"/>
      <c r="I18" s="39"/>
      <c r="J18" s="39"/>
      <c r="L18" s="40" t="s">
        <v>197</v>
      </c>
      <c r="M18" s="41" t="s">
        <v>149</v>
      </c>
      <c r="N18" s="6" t="s">
        <v>198</v>
      </c>
      <c r="T18" s="15" t="s">
        <v>199</v>
      </c>
      <c r="U18" s="15" t="n">
        <f aca="false">BP6+BP7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IF(Y18=1,IF(ISNUMBER(E18),1,0),IF(AH18="",0,IF(IF($U$35=1,COUNTIF($AH$6:$AK$25,"&gt;"&amp;AH18),COUNTIF($AM$6:$AP$25,"&gt;"&amp;AH18))+COUNTIF($AH$6:$AK$17,AH18)+1&lt;=$U$45,1,0)))</f>
        <v>0</v>
      </c>
      <c r="AS18" s="15" t="n">
        <f aca="false">IF(Y18=1,IF(ISNUMBER(F18),1,0),IF(AI18="",0,IF(IF($U$35=1,COUNTIF($AH$6:$AK$25,"&gt;"&amp;AI18),COUNTIF($AM$6:$AP$25,"&gt;"&amp;AI18))+COUNTIF($AH$6:$AK$17,AI18)+COUNTIF($AH18:AH18,AI18)+1&lt;=$U$45,1,0)))</f>
        <v>0</v>
      </c>
      <c r="AT18" s="15" t="n">
        <f aca="false">IF(Y18=1,IF(ISNUMBER(G18),1,0),IF(AJ18="",0,IF(IF($U$35=1,COUNTIF($AH$6:$AK$25,"&gt;"&amp;AJ18),COUNTIF($AM$6:$AP$25,"&gt;"&amp;AJ18))+COUNTIF($AH$6:$AK$17,AJ18)+COUNTIF($AH18:AI18,AJ18)+1&lt;=$U$45,1,0)))</f>
        <v>0</v>
      </c>
      <c r="AU18" s="15" t="n">
        <f aca="false">IF(Y18=1,IF(ISNUMBER(H18),1,0),IF(AK18="",0,IF(IF($U$35=1,COUNTIF($AH$6:$AK$25,"&gt;"&amp;AK18),COUNTIF($AM$6:$AP$25,"&gt;"&amp;AK18))+COUNTIF($AH$6:$AK$17,AK18)+COUNTIF($AH18:AJ18,AK18)+1&lt;=$U$45,1,0)))</f>
        <v>0</v>
      </c>
      <c r="BZ18" s="15" t="n">
        <f aca="false">IFERROR(LARGE($AH$6:$AK$25,17),0)</f>
        <v>0</v>
      </c>
      <c r="CA18" s="15" t="n">
        <f aca="false">CA17+BZ18</f>
        <v>0</v>
      </c>
      <c r="CB18" s="15" t="n">
        <f aca="false">IFERROR(LARGE($AM$6:$AP$25,17),0)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200</v>
      </c>
      <c r="C19" s="37"/>
      <c r="D19" s="38"/>
      <c r="E19" s="24"/>
      <c r="F19" s="24"/>
      <c r="G19" s="24"/>
      <c r="H19" s="24"/>
      <c r="I19" s="39"/>
      <c r="J19" s="39"/>
      <c r="L19" s="42" t="s">
        <v>201</v>
      </c>
      <c r="M19" s="43" t="str">
        <f aca="false">IF($U$4=0,"",IF($U$47=1,"✓ erfüllt","✗ nicht erfüllt"))</f>
        <v/>
      </c>
      <c r="N19" s="36" t="str">
        <f aca="false">IF($U$4=0,"",$U$36&amp;" Punkte")</f>
        <v/>
      </c>
      <c r="T19" s="15" t="s">
        <v>202</v>
      </c>
      <c r="U19" s="15" t="n">
        <f aca="false">BQ6+BQ7+BQ8+BQ9+BQ10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IF(Y19=1,IF(ISNUMBER(E19),1,0),IF(AH19="",0,IF(IF($U$35=1,COUNTIF($AH$6:$AK$25,"&gt;"&amp;AH19),COUNTIF($AM$6:$AP$25,"&gt;"&amp;AH19))+COUNTIF($AH$6:$AK$18,AH19)+1&lt;=$U$45,1,0)))</f>
        <v>0</v>
      </c>
      <c r="AS19" s="15" t="n">
        <f aca="false">IF(Y19=1,IF(ISNUMBER(F19),1,0),IF(AI19="",0,IF(IF($U$35=1,COUNTIF($AH$6:$AK$25,"&gt;"&amp;AI19),COUNTIF($AM$6:$AP$25,"&gt;"&amp;AI19))+COUNTIF($AH$6:$AK$18,AI19)+COUNTIF($AH19:AH19,AI19)+1&lt;=$U$45,1,0)))</f>
        <v>0</v>
      </c>
      <c r="AT19" s="15" t="n">
        <f aca="false">IF(Y19=1,IF(ISNUMBER(G19),1,0),IF(AJ19="",0,IF(IF($U$35=1,COUNTIF($AH$6:$AK$25,"&gt;"&amp;AJ19),COUNTIF($AM$6:$AP$25,"&gt;"&amp;AJ19))+COUNTIF($AH$6:$AK$18,AJ19)+COUNTIF($AH19:AI19,AJ19)+1&lt;=$U$45,1,0)))</f>
        <v>0</v>
      </c>
      <c r="AU19" s="15" t="n">
        <f aca="false">IF(Y19=1,IF(ISNUMBER(H19),1,0),IF(AK19="",0,IF(IF($U$35=1,COUNTIF($AH$6:$AK$25,"&gt;"&amp;AK19),COUNTIF($AM$6:$AP$25,"&gt;"&amp;AK19))+COUNTIF($AH$6:$AK$18,AK19)+COUNTIF($AH19:AJ19,AK19)+1&lt;=$U$45,1,0)))</f>
        <v>0</v>
      </c>
      <c r="BZ19" s="15" t="n">
        <f aca="false">IFERROR(LARGE($AH$6:$AK$25,18),0)</f>
        <v>0</v>
      </c>
      <c r="CA19" s="15" t="n">
        <f aca="false">CA18+BZ19</f>
        <v>0</v>
      </c>
      <c r="CB19" s="15" t="n">
        <f aca="false">IFERROR(LARGE($AM$6:$AP$25,18),0)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203</v>
      </c>
      <c r="C20" s="37"/>
      <c r="D20" s="38"/>
      <c r="E20" s="24"/>
      <c r="F20" s="24"/>
      <c r="G20" s="24"/>
      <c r="H20" s="24"/>
      <c r="I20" s="39"/>
      <c r="J20" s="39"/>
      <c r="L20" s="42" t="s">
        <v>321</v>
      </c>
      <c r="M20" s="43" t="str">
        <f aca="false">IF($U$4=0,"",IF($U$49=1,"✓ erfüllt","✗ nicht erfüllt"))</f>
        <v/>
      </c>
      <c r="N20" s="36" t="str">
        <f aca="false">IF($U$4=0,"",$U$58&amp;" Unterkurse")</f>
        <v/>
      </c>
      <c r="T20" s="15" t="s">
        <v>204</v>
      </c>
      <c r="U20" s="15" t="n">
        <f aca="false">BR6+BR7+BR8+BR9+BR10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IF(Y20=1,IF(ISNUMBER(E20),1,0),IF(AH20="",0,IF(IF($U$35=1,COUNTIF($AH$6:$AK$25,"&gt;"&amp;AH20),COUNTIF($AM$6:$AP$25,"&gt;"&amp;AH20))+COUNTIF($AH$6:$AK$19,AH20)+1&lt;=$U$45,1,0)))</f>
        <v>0</v>
      </c>
      <c r="AS20" s="15" t="n">
        <f aca="false">IF(Y20=1,IF(ISNUMBER(F20),1,0),IF(AI20="",0,IF(IF($U$35=1,COUNTIF($AH$6:$AK$25,"&gt;"&amp;AI20),COUNTIF($AM$6:$AP$25,"&gt;"&amp;AI20))+COUNTIF($AH$6:$AK$19,AI20)+COUNTIF($AH20:AH20,AI20)+1&lt;=$U$45,1,0)))</f>
        <v>0</v>
      </c>
      <c r="AT20" s="15" t="n">
        <f aca="false">IF(Y20=1,IF(ISNUMBER(G20),1,0),IF(AJ20="",0,IF(IF($U$35=1,COUNTIF($AH$6:$AK$25,"&gt;"&amp;AJ20),COUNTIF($AM$6:$AP$25,"&gt;"&amp;AJ20))+COUNTIF($AH$6:$AK$19,AJ20)+COUNTIF($AH20:AI20,AJ20)+1&lt;=$U$45,1,0)))</f>
        <v>0</v>
      </c>
      <c r="AU20" s="15" t="n">
        <f aca="false">IF(Y20=1,IF(ISNUMBER(H20),1,0),IF(AK20="",0,IF(IF($U$35=1,COUNTIF($AH$6:$AK$25,"&gt;"&amp;AK20),COUNTIF($AM$6:$AP$25,"&gt;"&amp;AK20))+COUNTIF($AH$6:$AK$19,AK20)+COUNTIF($AH20:AJ20,AK20)+1&lt;=$U$45,1,0)))</f>
        <v>0</v>
      </c>
      <c r="BZ20" s="15" t="n">
        <f aca="false">IFERROR(LARGE($AH$6:$AK$25,19),0)</f>
        <v>0</v>
      </c>
      <c r="CA20" s="15" t="n">
        <f aca="false">CA19+BZ20</f>
        <v>0</v>
      </c>
      <c r="CB20" s="15" t="n">
        <f aca="false">IFERROR(LARGE($AM$6:$AP$25,19),0)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205</v>
      </c>
      <c r="C21" s="37"/>
      <c r="D21" s="38"/>
      <c r="E21" s="24"/>
      <c r="F21" s="24"/>
      <c r="G21" s="24"/>
      <c r="H21" s="24"/>
      <c r="I21" s="39"/>
      <c r="J21" s="39"/>
      <c r="L21" s="42" t="s">
        <v>322</v>
      </c>
      <c r="M21" s="43" t="str">
        <f aca="false">IF($U$4=0,"",IF($U$50=1,"✓ erfüllt","✗ nicht erfüllt"))</f>
        <v/>
      </c>
      <c r="N21" s="36" t="str">
        <f aca="false">IF($U$4=0,"",$U$40&amp;" Unterkurse")</f>
        <v/>
      </c>
      <c r="T21" s="15" t="s">
        <v>207</v>
      </c>
      <c r="U21" s="15" t="n">
        <f aca="false">MIN(300,INT((SUM(BU6,BU7,BU8,BU9,BU10))+0.5+0.000000001))</f>
        <v>140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IF(Y21=1,IF(ISNUMBER(E21),1,0),IF(AH21="",0,IF(IF($U$35=1,COUNTIF($AH$6:$AK$25,"&gt;"&amp;AH21),COUNTIF($AM$6:$AP$25,"&gt;"&amp;AH21))+COUNTIF($AH$6:$AK$20,AH21)+1&lt;=$U$45,1,0)))</f>
        <v>0</v>
      </c>
      <c r="AS21" s="15" t="n">
        <f aca="false">IF(Y21=1,IF(ISNUMBER(F21),1,0),IF(AI21="",0,IF(IF($U$35=1,COUNTIF($AH$6:$AK$25,"&gt;"&amp;AI21),COUNTIF($AM$6:$AP$25,"&gt;"&amp;AI21))+COUNTIF($AH$6:$AK$20,AI21)+COUNTIF($AH21:AH21,AI21)+1&lt;=$U$45,1,0)))</f>
        <v>0</v>
      </c>
      <c r="AT21" s="15" t="n">
        <f aca="false">IF(Y21=1,IF(ISNUMBER(G21),1,0),IF(AJ21="",0,IF(IF($U$35=1,COUNTIF($AH$6:$AK$25,"&gt;"&amp;AJ21),COUNTIF($AM$6:$AP$25,"&gt;"&amp;AJ21))+COUNTIF($AH$6:$AK$20,AJ21)+COUNTIF($AH21:AI21,AJ21)+1&lt;=$U$45,1,0)))</f>
        <v>0</v>
      </c>
      <c r="AU21" s="15" t="n">
        <f aca="false">IF(Y21=1,IF(ISNUMBER(H21),1,0),IF(AK21="",0,IF(IF($U$35=1,COUNTIF($AH$6:$AK$25,"&gt;"&amp;AK21),COUNTIF($AM$6:$AP$25,"&gt;"&amp;AK21))+COUNTIF($AH$6:$AK$20,AK21)+COUNTIF($AH21:AJ21,AK21)+1&lt;=$U$45,1,0)))</f>
        <v>0</v>
      </c>
      <c r="BZ21" s="15" t="n">
        <f aca="false">IFERROR(LARGE($AH$6:$AK$25,20),0)</f>
        <v>0</v>
      </c>
      <c r="CA21" s="15" t="n">
        <f aca="false">CA20+BZ21</f>
        <v>0</v>
      </c>
      <c r="CB21" s="15" t="n">
        <f aca="false">IFERROR(LARGE($AM$6:$AP$25,20),0)</f>
        <v>0</v>
      </c>
      <c r="CC21" s="15" t="n">
        <f aca="false">CC20+CB21</f>
        <v>0</v>
      </c>
    </row>
    <row r="22" customFormat="false" ht="15" hidden="false" customHeight="false" outlineLevel="0" collapsed="false">
      <c r="B22" s="36" t="s">
        <v>208</v>
      </c>
      <c r="C22" s="37"/>
      <c r="D22" s="38"/>
      <c r="E22" s="24"/>
      <c r="F22" s="24"/>
      <c r="G22" s="24"/>
      <c r="H22" s="24"/>
      <c r="I22" s="39"/>
      <c r="J22" s="39"/>
      <c r="L22" s="42" t="s">
        <v>323</v>
      </c>
      <c r="M22" s="43" t="str">
        <f aca="false">IF($U$4=0,"",IF($U$51=1,"✓ erfüllt","✗ nicht erfüllt"))</f>
        <v/>
      </c>
      <c r="N22" s="36" t="str">
        <f aca="false">IF($U$4=0,"",ROUND($U$41,0)&amp;" Punkte")</f>
        <v/>
      </c>
      <c r="T22" s="15" t="s">
        <v>210</v>
      </c>
      <c r="U22" s="15" t="n">
        <f aca="false">SUM(BV6,BV7,BV8,BV9,BV10)</f>
        <v>5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IF(Y22=1,IF(ISNUMBER(E22),1,0),IF(AH22="",0,IF(IF($U$35=1,COUNTIF($AH$6:$AK$25,"&gt;"&amp;AH22),COUNTIF($AM$6:$AP$25,"&gt;"&amp;AH22))+COUNTIF($AH$6:$AK$21,AH22)+1&lt;=$U$45,1,0)))</f>
        <v>0</v>
      </c>
      <c r="AS22" s="15" t="n">
        <f aca="false">IF(Y22=1,IF(ISNUMBER(F22),1,0),IF(AI22="",0,IF(IF($U$35=1,COUNTIF($AH$6:$AK$25,"&gt;"&amp;AI22),COUNTIF($AM$6:$AP$25,"&gt;"&amp;AI22))+COUNTIF($AH$6:$AK$21,AI22)+COUNTIF($AH22:AH22,AI22)+1&lt;=$U$45,1,0)))</f>
        <v>0</v>
      </c>
      <c r="AT22" s="15" t="n">
        <f aca="false">IF(Y22=1,IF(ISNUMBER(G22),1,0),IF(AJ22="",0,IF(IF($U$35=1,COUNTIF($AH$6:$AK$25,"&gt;"&amp;AJ22),COUNTIF($AM$6:$AP$25,"&gt;"&amp;AJ22))+COUNTIF($AH$6:$AK$21,AJ22)+COUNTIF($AH22:AI22,AJ22)+1&lt;=$U$45,1,0)))</f>
        <v>0</v>
      </c>
      <c r="AU22" s="15" t="n">
        <f aca="false">IF(Y22=1,IF(ISNUMBER(H22),1,0),IF(AK22="",0,IF(IF($U$35=1,COUNTIF($AH$6:$AK$25,"&gt;"&amp;AK22),COUNTIF($AM$6:$AP$25,"&gt;"&amp;AK22))+COUNTIF($AH$6:$AK$21,AK22)+COUNTIF($AH22:AJ22,AK22)+1&lt;=$U$45,1,0)))</f>
        <v>0</v>
      </c>
      <c r="BZ22" s="15" t="n">
        <f aca="false">IFERROR(LARGE($AH$6:$AK$25,21),0)</f>
        <v>0</v>
      </c>
      <c r="CA22" s="15" t="n">
        <f aca="false">CA21+BZ22</f>
        <v>0</v>
      </c>
      <c r="CB22" s="15" t="n">
        <f aca="false">IFERROR(LARGE($AM$6:$AP$25,21),0)</f>
        <v>0</v>
      </c>
      <c r="CC22" s="15" t="n">
        <f aca="false">CC21+CB22</f>
        <v>0</v>
      </c>
      <c r="CE22" s="15" t="s">
        <v>79</v>
      </c>
      <c r="CF22" s="15" t="s">
        <v>80</v>
      </c>
      <c r="CG22" s="15" t="s">
        <v>81</v>
      </c>
      <c r="CH22" s="15" t="s">
        <v>82</v>
      </c>
      <c r="CI22" s="15" t="s">
        <v>83</v>
      </c>
      <c r="CJ22" s="15" t="s">
        <v>84</v>
      </c>
      <c r="CK22" s="15" t="s">
        <v>85</v>
      </c>
      <c r="CL22" s="15" t="s">
        <v>86</v>
      </c>
      <c r="CM22" s="15" t="s">
        <v>87</v>
      </c>
      <c r="CN22" s="15" t="s">
        <v>88</v>
      </c>
      <c r="CO22" s="15" t="s">
        <v>89</v>
      </c>
      <c r="CP22" s="15" t="s">
        <v>90</v>
      </c>
      <c r="CQ22" s="15" t="s">
        <v>91</v>
      </c>
      <c r="CR22" s="15" t="s">
        <v>92</v>
      </c>
      <c r="CS22" s="15" t="s">
        <v>93</v>
      </c>
      <c r="CT22" s="15" t="s">
        <v>94</v>
      </c>
      <c r="CU22" s="15" t="s">
        <v>95</v>
      </c>
      <c r="CV22" s="15" t="s">
        <v>96</v>
      </c>
      <c r="CW22" s="15" t="s">
        <v>97</v>
      </c>
      <c r="CX22" s="15" t="s">
        <v>98</v>
      </c>
      <c r="CY22" s="15" t="s">
        <v>99</v>
      </c>
      <c r="CZ22" s="15" t="s">
        <v>100</v>
      </c>
      <c r="DA22" s="15" t="s">
        <v>101</v>
      </c>
      <c r="DB22" s="15" t="s">
        <v>102</v>
      </c>
      <c r="DC22" s="15" t="s">
        <v>103</v>
      </c>
      <c r="DD22" s="15" t="s">
        <v>104</v>
      </c>
      <c r="DE22" s="15" t="s">
        <v>105</v>
      </c>
      <c r="DF22" s="15" t="s">
        <v>106</v>
      </c>
      <c r="DG22" s="15" t="s">
        <v>107</v>
      </c>
      <c r="DH22" s="15" t="s">
        <v>108</v>
      </c>
    </row>
    <row r="23" customFormat="false" ht="15" hidden="false" customHeight="false" outlineLevel="0" collapsed="false">
      <c r="B23" s="36" t="s">
        <v>211</v>
      </c>
      <c r="C23" s="37"/>
      <c r="D23" s="38"/>
      <c r="E23" s="24"/>
      <c r="F23" s="24"/>
      <c r="G23" s="24"/>
      <c r="H23" s="24"/>
      <c r="I23" s="39"/>
      <c r="J23" s="39"/>
      <c r="L23" s="42" t="s">
        <v>324</v>
      </c>
      <c r="M23" s="43" t="str">
        <f aca="false">IF($U$4=0,"",IF($U$52=1,"✓ erfüllt","✗ nicht erfüllt"))</f>
        <v/>
      </c>
      <c r="N23" s="36" t="str">
        <f aca="false">IF($U$4=0,"",ROUND($U$42,0)&amp;" Punkte")</f>
        <v/>
      </c>
      <c r="T23" s="15" t="s">
        <v>213</v>
      </c>
      <c r="U23" s="15" t="n">
        <f aca="false">BV6+BV7</f>
        <v>2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IF(Y23=1,IF(ISNUMBER(E23),1,0),IF(AH23="",0,IF(IF($U$35=1,COUNTIF($AH$6:$AK$25,"&gt;"&amp;AH23),COUNTIF($AM$6:$AP$25,"&gt;"&amp;AH23))+COUNTIF($AH$6:$AK$22,AH23)+1&lt;=$U$45,1,0)))</f>
        <v>0</v>
      </c>
      <c r="AS23" s="15" t="n">
        <f aca="false">IF(Y23=1,IF(ISNUMBER(F23),1,0),IF(AI23="",0,IF(IF($U$35=1,COUNTIF($AH$6:$AK$25,"&gt;"&amp;AI23),COUNTIF($AM$6:$AP$25,"&gt;"&amp;AI23))+COUNTIF($AH$6:$AK$22,AI23)+COUNTIF($AH23:AH23,AI23)+1&lt;=$U$45,1,0)))</f>
        <v>0</v>
      </c>
      <c r="AT23" s="15" t="n">
        <f aca="false">IF(Y23=1,IF(ISNUMBER(G23),1,0),IF(AJ23="",0,IF(IF($U$35=1,COUNTIF($AH$6:$AK$25,"&gt;"&amp;AJ23),COUNTIF($AM$6:$AP$25,"&gt;"&amp;AJ23))+COUNTIF($AH$6:$AK$22,AJ23)+COUNTIF($AH23:AI23,AJ23)+1&lt;=$U$45,1,0)))</f>
        <v>0</v>
      </c>
      <c r="AU23" s="15" t="n">
        <f aca="false">IF(Y23=1,IF(ISNUMBER(H23),1,0),IF(AK23="",0,IF(IF($U$35=1,COUNTIF($AH$6:$AK$25,"&gt;"&amp;AK23),COUNTIF($AM$6:$AP$25,"&gt;"&amp;AK23))+COUNTIF($AH$6:$AK$22,AK23)+COUNTIF($AH23:AJ23,AK23)+1&lt;=$U$45,1,0)))</f>
        <v>0</v>
      </c>
      <c r="BZ23" s="15" t="n">
        <f aca="false">IFERROR(LARGE($AH$6:$AK$25,22),0)</f>
        <v>0</v>
      </c>
      <c r="CA23" s="15" t="n">
        <f aca="false">CA22+BZ23</f>
        <v>0</v>
      </c>
      <c r="CB23" s="15" t="n">
        <f aca="false">IFERROR(LARGE($AM$6:$AP$25,22),0)</f>
        <v>0</v>
      </c>
      <c r="CC23" s="15" t="n">
        <f aca="false">CC22+CB23</f>
        <v>0</v>
      </c>
      <c r="CE23" s="15" t="n">
        <f aca="false">32</f>
        <v>32</v>
      </c>
      <c r="CF23" s="15" t="n">
        <f aca="false">CE23-$V$5-$V$6-0</f>
        <v>15</v>
      </c>
      <c r="CG23" s="15" t="n">
        <f aca="false">MAX(0,CF23)</f>
        <v>15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15</v>
      </c>
      <c r="CK23" s="15" t="n">
        <f aca="false">$V$5+CH23+CJ23</f>
        <v>32</v>
      </c>
      <c r="CL23" s="15" t="n">
        <f aca="false">2*BE6+2*BF6+2*BE7+2*BF7</f>
        <v>112</v>
      </c>
      <c r="CM23" s="15" t="n">
        <f aca="false">2*BG6+2*BH6+2*BG7+2*BH7+1*BG8+1*BH8+1*BG9+1*BH9+1*BG10+1*BH10+SUM($AE$12:$AE$25)</f>
        <v>25</v>
      </c>
      <c r="CN23" s="15" t="n">
        <f aca="false">IF(CH23=0,0,INDEX($CC$2:$CC$60,CH23))</f>
        <v>0</v>
      </c>
      <c r="CO23" s="15" t="n">
        <f aca="false">CL23+$V$11+CN23+CJ23*$U$2</f>
        <v>280</v>
      </c>
      <c r="CP23" s="15" t="n">
        <f aca="false">CM23+CH23+CJ23</f>
        <v>40</v>
      </c>
      <c r="CQ23" s="15" t="n">
        <f aca="false">MIN(600,INT((CO23)+0.5+0.000000001))</f>
        <v>280</v>
      </c>
      <c r="CR23" s="15" t="n">
        <f aca="false">$V$9+CT23</f>
        <v>0</v>
      </c>
      <c r="CS23" s="15" t="n">
        <f aca="false">99</f>
        <v>99</v>
      </c>
      <c r="CT23" s="15" t="n">
        <f aca="false">$V$10+MAX(0,CH23-$V$8)+CJ23*IF($U$2&lt;5,1,0)</f>
        <v>0</v>
      </c>
      <c r="CU23" s="15" t="n">
        <f aca="false">$V$11+CN23+CJ23*$U$2</f>
        <v>168</v>
      </c>
      <c r="CV23" s="15" t="n">
        <f aca="false">IF(CQ23&gt;=200,1,0)</f>
        <v>1</v>
      </c>
      <c r="CW23" s="15" t="n">
        <f aca="false">1</f>
        <v>1</v>
      </c>
      <c r="CX23" s="15" t="n">
        <f aca="false">IF($V$9&lt;=2,1,0)</f>
        <v>1</v>
      </c>
      <c r="CY23" s="15" t="n">
        <f aca="false">IF(CT23&lt;=4,1,0)</f>
        <v>1</v>
      </c>
      <c r="CZ23" s="15" t="n">
        <f aca="false">IF(CL23&gt;=80-0.000000001,1,0)</f>
        <v>1</v>
      </c>
      <c r="DA23" s="15" t="n">
        <f aca="false">IF(CU23&gt;=120-0.000000001,1,0)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1028068</v>
      </c>
    </row>
    <row r="24" customFormat="false" ht="15" hidden="false" customHeight="false" outlineLevel="0" collapsed="false">
      <c r="B24" s="36" t="s">
        <v>214</v>
      </c>
      <c r="C24" s="37"/>
      <c r="D24" s="38"/>
      <c r="E24" s="24"/>
      <c r="F24" s="24"/>
      <c r="G24" s="24"/>
      <c r="H24" s="24"/>
      <c r="I24" s="39"/>
      <c r="J24" s="39"/>
      <c r="L24" s="42" t="s">
        <v>209</v>
      </c>
      <c r="M24" s="43" t="str">
        <f aca="false">IF($U$4=0,"",IF($U$53=1,"✓ erfüllt","✗ nicht erfüllt"))</f>
        <v/>
      </c>
      <c r="N24" s="36" t="str">
        <f aca="false">IF($U$4=0,"",$U$12&amp;" mit 0 Punkten")</f>
        <v/>
      </c>
      <c r="T24" s="15" t="s">
        <v>216</v>
      </c>
      <c r="U24" s="15" t="n">
        <f aca="false">BW6+BW7+BW8+BW9+BW10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IF(Y24=1,IF(ISNUMBER(E24),1,0),IF(AH24="",0,IF(IF($U$35=1,COUNTIF($AH$6:$AK$25,"&gt;"&amp;AH24),COUNTIF($AM$6:$AP$25,"&gt;"&amp;AH24))+COUNTIF($AH$6:$AK$23,AH24)+1&lt;=$U$45,1,0)))</f>
        <v>0</v>
      </c>
      <c r="AS24" s="15" t="n">
        <f aca="false">IF(Y24=1,IF(ISNUMBER(F24),1,0),IF(AI24="",0,IF(IF($U$35=1,COUNTIF($AH$6:$AK$25,"&gt;"&amp;AI24),COUNTIF($AM$6:$AP$25,"&gt;"&amp;AI24))+COUNTIF($AH$6:$AK$23,AI24)+COUNTIF($AH24:AH24,AI24)+1&lt;=$U$45,1,0)))</f>
        <v>0</v>
      </c>
      <c r="AT24" s="15" t="n">
        <f aca="false">IF(Y24=1,IF(ISNUMBER(G24),1,0),IF(AJ24="",0,IF(IF($U$35=1,COUNTIF($AH$6:$AK$25,"&gt;"&amp;AJ24),COUNTIF($AM$6:$AP$25,"&gt;"&amp;AJ24))+COUNTIF($AH$6:$AK$23,AJ24)+COUNTIF($AH24:AI24,AJ24)+1&lt;=$U$45,1,0)))</f>
        <v>0</v>
      </c>
      <c r="AU24" s="15" t="n">
        <f aca="false">IF(Y24=1,IF(ISNUMBER(H24),1,0),IF(AK24="",0,IF(IF($U$35=1,COUNTIF($AH$6:$AK$25,"&gt;"&amp;AK24),COUNTIF($AM$6:$AP$25,"&gt;"&amp;AK24))+COUNTIF($AH$6:$AK$23,AK24)+COUNTIF($AH24:AJ24,AK24)+1&lt;=$U$45,1,0)))</f>
        <v>0</v>
      </c>
      <c r="BZ24" s="15" t="n">
        <f aca="false">IFERROR(LARGE($AH$6:$AK$25,23),0)</f>
        <v>0</v>
      </c>
      <c r="CA24" s="15" t="n">
        <f aca="false">CA23+BZ24</f>
        <v>0</v>
      </c>
      <c r="CB24" s="15" t="n">
        <f aca="false">IFERROR(LARGE($AM$6:$AP$25,23),0)</f>
        <v>0</v>
      </c>
      <c r="CC24" s="15" t="n">
        <f aca="false">CC23+CB24</f>
        <v>0</v>
      </c>
    </row>
    <row r="25" customFormat="false" ht="22.35" hidden="false" customHeight="false" outlineLevel="0" collapsed="false">
      <c r="B25" s="36" t="s">
        <v>217</v>
      </c>
      <c r="C25" s="37"/>
      <c r="D25" s="38"/>
      <c r="E25" s="24"/>
      <c r="F25" s="24"/>
      <c r="G25" s="24"/>
      <c r="H25" s="24"/>
      <c r="I25" s="39"/>
      <c r="J25" s="39"/>
      <c r="L25" s="42" t="s">
        <v>212</v>
      </c>
      <c r="M25" s="43" t="str">
        <f aca="false">IF($U$4=0,"",IF($U$56=1,"✓ erfüllt","✗ nicht erfüllt"))</f>
        <v/>
      </c>
      <c r="N25" s="36"/>
      <c r="T25" s="15" t="s">
        <v>218</v>
      </c>
      <c r="U25" s="15" t="n">
        <f aca="false">BX6+BX7+BX8+BX9+BX10</f>
        <v>0</v>
      </c>
      <c r="X25" s="15" t="n">
        <f aca="false">IF(OR(LEN(TRIM(C25))&gt;0,COUNT(E25:H25)&gt;0),1,0)</f>
        <v>0</v>
      </c>
      <c r="Y25" s="15" t="n">
        <f aca="false">IF(LEN(TRIM(D25))&gt;0,1,0)</f>
        <v>0</v>
      </c>
      <c r="Z25" s="15" t="n">
        <f aca="false">Y25*SUM(E25:H25)</f>
        <v>0</v>
      </c>
      <c r="AA25" s="15" t="n">
        <f aca="false">Y25*COUNT(E25:H25)</f>
        <v>0</v>
      </c>
      <c r="AB25" s="15" t="n">
        <f aca="false">Y25*COUNTIF(E25:H25,"&lt;5")</f>
        <v>0</v>
      </c>
      <c r="AC25" s="15" t="n">
        <f aca="false">Y25*COUNTIF(E25:H25,0)</f>
        <v>0</v>
      </c>
      <c r="AD25" s="15" t="n">
        <f aca="false">Y25*(SUM(E25:H25)+X25*$U$2*(4-COUNT(E25:H25)))</f>
        <v>0</v>
      </c>
      <c r="AE25" s="15" t="n">
        <f aca="false">Y25*(COUNT(E25:H25)+X25*(4-COUNT(E25:H25)))</f>
        <v>0</v>
      </c>
      <c r="AF25" s="15" t="n">
        <f aca="false">Y25*(COUNTIF(E25:H25,"&lt;5")+X25*IF($U$2&lt;5,1,0)*(4-COUNT(E25:H25)))</f>
        <v>0</v>
      </c>
      <c r="AH25" s="15" t="str">
        <f aca="false">IF(Y25=1,"",IF(ISNUMBER(E25),IF(E25=0,"",E25),""))</f>
        <v/>
      </c>
      <c r="AI25" s="15" t="str">
        <f aca="false">IF(Y25=1,"",IF(ISNUMBER(F25),IF(F25=0,"",F25),""))</f>
        <v/>
      </c>
      <c r="AJ25" s="15" t="str">
        <f aca="false">IF(Y25=1,"",IF(ISNUMBER(G25),IF(G25=0,"",G25),""))</f>
        <v/>
      </c>
      <c r="AK25" s="15" t="str">
        <f aca="false">IF(Y25=1,"",IF(ISNUMBER(H25),IF(H25=0,"",H25),""))</f>
        <v/>
      </c>
      <c r="AM25" s="15" t="str">
        <f aca="false">IF(Y25=1,"",IF(ISNUMBER(E25),IF(E25=0,"",E25),IF(X25=1,$U$2,"")))</f>
        <v/>
      </c>
      <c r="AN25" s="15" t="str">
        <f aca="false">IF(Y25=1,"",IF(ISNUMBER(F25),IF(F25=0,"",F25),IF(X25=1,$U$2,"")))</f>
        <v/>
      </c>
      <c r="AO25" s="15" t="str">
        <f aca="false">IF(Y25=1,"",IF(ISNUMBER(G25),IF(G25=0,"",G25),IF(X25=1,$U$2,"")))</f>
        <v/>
      </c>
      <c r="AP25" s="15" t="str">
        <f aca="false">IF(Y25=1,"",IF(ISNUMBER(H25),IF(H25=0,"",H25),IF(X25=1,$U$2,"")))</f>
        <v/>
      </c>
      <c r="AR25" s="15" t="n">
        <f aca="false">IF(Y25=1,IF(ISNUMBER(E25),1,0),IF(AH25="",0,IF(IF($U$35=1,COUNTIF($AH$6:$AK$25,"&gt;"&amp;AH25),COUNTIF($AM$6:$AP$25,"&gt;"&amp;AH25))+COUNTIF($AH$6:$AK$24,AH25)+1&lt;=$U$45,1,0)))</f>
        <v>0</v>
      </c>
      <c r="AS25" s="15" t="n">
        <f aca="false">IF(Y25=1,IF(ISNUMBER(F25),1,0),IF(AI25="",0,IF(IF($U$35=1,COUNTIF($AH$6:$AK$25,"&gt;"&amp;AI25),COUNTIF($AM$6:$AP$25,"&gt;"&amp;AI25))+COUNTIF($AH$6:$AK$24,AI25)+COUNTIF($AH25:AH25,AI25)+1&lt;=$U$45,1,0)))</f>
        <v>0</v>
      </c>
      <c r="AT25" s="15" t="n">
        <f aca="false">IF(Y25=1,IF(ISNUMBER(G25),1,0),IF(AJ25="",0,IF(IF($U$35=1,COUNTIF($AH$6:$AK$25,"&gt;"&amp;AJ25),COUNTIF($AM$6:$AP$25,"&gt;"&amp;AJ25))+COUNTIF($AH$6:$AK$24,AJ25)+COUNTIF($AH25:AI25,AJ25)+1&lt;=$U$45,1,0)))</f>
        <v>0</v>
      </c>
      <c r="AU25" s="15" t="n">
        <f aca="false">IF(Y25=1,IF(ISNUMBER(H25),1,0),IF(AK25="",0,IF(IF($U$35=1,COUNTIF($AH$6:$AK$25,"&gt;"&amp;AK25),COUNTIF($AM$6:$AP$25,"&gt;"&amp;AK25))+COUNTIF($AH$6:$AK$24,AK25)+COUNTIF($AH25:AJ25,AK25)+1&lt;=$U$45,1,0)))</f>
        <v>0</v>
      </c>
      <c r="BZ25" s="15" t="n">
        <f aca="false">IFERROR(LARGE($AH$6:$AK$25,24),0)</f>
        <v>0</v>
      </c>
      <c r="CA25" s="15" t="n">
        <f aca="false">CA24+BZ25</f>
        <v>0</v>
      </c>
      <c r="CB25" s="15" t="n">
        <f aca="false">IFERROR(LARGE($AM$6:$AP$25,24),0)</f>
        <v>0</v>
      </c>
      <c r="CC25" s="15" t="n">
        <f aca="false">CC24+CB25</f>
        <v>0</v>
      </c>
    </row>
    <row r="26" customFormat="false" ht="15" hidden="false" customHeight="false" outlineLevel="0" collapsed="false">
      <c r="L26" s="42" t="s">
        <v>215</v>
      </c>
      <c r="M26" s="43" t="str">
        <f aca="false">IF($U$4=0,"",IF($U$61=1,"✓ erfüllt","✗ nicht erfüllt"))</f>
        <v/>
      </c>
      <c r="N26" s="36" t="str">
        <f aca="false">IF($U$4=0,"",$U$59&amp;" Punkte")</f>
        <v/>
      </c>
      <c r="T26" s="15" t="s">
        <v>220</v>
      </c>
      <c r="U26" s="15" t="n">
        <f aca="false">2</f>
        <v>2</v>
      </c>
      <c r="BZ26" s="15" t="n">
        <f aca="false">IFERROR(LARGE($AH$6:$AK$25,25),0)</f>
        <v>0</v>
      </c>
      <c r="CA26" s="15" t="n">
        <f aca="false">CA25+BZ26</f>
        <v>0</v>
      </c>
      <c r="CB26" s="15" t="n">
        <f aca="false">IFERROR(LARGE($AM$6:$AP$25,25),0)</f>
        <v>0</v>
      </c>
      <c r="CC26" s="15" t="n">
        <f aca="false">CC25+CB26</f>
        <v>0</v>
      </c>
    </row>
    <row r="27" customFormat="false" ht="22.35" hidden="false" customHeight="false" outlineLevel="0" collapsed="false">
      <c r="L27" s="42" t="str">
        <f aca="false">"In mindestens "&amp;$U$26&amp;" Prüfungen mindestens 5 Punkte (einfach), davon eine im 1./2. Prüfungsfach"</f>
        <v>In mindestens 2 Prüfungen mindestens 5 Punkte (einfach), davon eine im 1./2. Prüfungsfach</v>
      </c>
      <c r="M27" s="43" t="str">
        <f aca="false">IF($U$4=0,"",IF($U$62=1,"✓ erfüllt","✗ nicht erfüllt"))</f>
        <v/>
      </c>
      <c r="N27" s="36" t="str">
        <f aca="false">IF($U$4=0,"",$U$60&amp;" Prüfungen")</f>
        <v/>
      </c>
      <c r="T27" s="15" t="s">
        <v>222</v>
      </c>
      <c r="U27" s="15" t="n">
        <f aca="false">IF(ISNUMBER($I$6),0,1)+IF(ISNUMBER($I$7),0,1)+IF(ISNUMBER($I$8),0,1)+IF(ISNUMBER($I$9),0,1)+IF(ISNUMBER($I$10),0,1)</f>
        <v>5</v>
      </c>
      <c r="BZ27" s="15" t="n">
        <f aca="false">IFERROR(LARGE($AH$6:$AK$25,26),0)</f>
        <v>0</v>
      </c>
      <c r="CA27" s="15" t="n">
        <f aca="false">CA26+BZ27</f>
        <v>0</v>
      </c>
      <c r="CB27" s="15" t="n">
        <f aca="false">IFERROR(LARGE($AM$6:$AP$25,26),0)</f>
        <v>0</v>
      </c>
      <c r="CC27" s="15" t="n">
        <f aca="false">CC26+CB27</f>
        <v>0</v>
      </c>
    </row>
    <row r="28" customFormat="false" ht="15" hidden="false" customHeight="false" outlineLevel="0" collapsed="false">
      <c r="B28" s="5" t="s">
        <v>325</v>
      </c>
      <c r="L28" s="42" t="s">
        <v>221</v>
      </c>
      <c r="M28" s="43" t="str">
        <f aca="false">IF($U$4=0,"",IF($U$65=1,"✓ erfüllt","✗ nicht erfüllt"))</f>
        <v/>
      </c>
      <c r="N28" s="36" t="str">
        <f aca="false">IF($U$4=0,"",$U$64&amp;" Punkte")</f>
        <v/>
      </c>
      <c r="T28" s="15" t="s">
        <v>224</v>
      </c>
      <c r="U28" s="15" t="n">
        <f aca="false">IF($U$16&gt;=100,1,0)</f>
        <v>0</v>
      </c>
      <c r="BZ28" s="15" t="n">
        <f aca="false">IFERROR(LARGE($AH$6:$AK$25,27),0)</f>
        <v>0</v>
      </c>
      <c r="CA28" s="15" t="n">
        <f aca="false">CA27+BZ28</f>
        <v>0</v>
      </c>
      <c r="CB28" s="15" t="n">
        <f aca="false">IFERROR(LARGE($AM$6:$AP$25,27),0)</f>
        <v>0</v>
      </c>
      <c r="CC28" s="15" t="n">
        <f aca="false">CC27+CB28</f>
        <v>0</v>
      </c>
    </row>
    <row r="29" customFormat="false" ht="15" hidden="false" customHeight="false" outlineLevel="0" collapsed="false">
      <c r="B29" s="12" t="s">
        <v>326</v>
      </c>
      <c r="T29" s="15" t="s">
        <v>227</v>
      </c>
      <c r="U29" s="15" t="n">
        <f aca="false">IF(AND($U$17&gt;=$U$26,$U$18&gt;=1),1,0)</f>
        <v>0</v>
      </c>
      <c r="BZ29" s="15" t="n">
        <f aca="false">IFERROR(LARGE($AH$6:$AK$25,28),0)</f>
        <v>0</v>
      </c>
      <c r="CA29" s="15" t="n">
        <f aca="false">CA28+BZ29</f>
        <v>0</v>
      </c>
      <c r="CB29" s="15" t="n">
        <f aca="false">IFERROR(LARGE($AM$6:$AP$25,28),0)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">
        <v>327</v>
      </c>
      <c r="L30" s="44" t="s">
        <v>226</v>
      </c>
      <c r="T30" s="15" t="s">
        <v>233</v>
      </c>
      <c r="U30" s="15" t="n">
        <f aca="false">$U$28*$U$29</f>
        <v>0</v>
      </c>
      <c r="BZ30" s="15" t="n">
        <f aca="false">IFERROR(LARGE($AH$6:$AK$25,29),0)</f>
        <v>0</v>
      </c>
      <c r="CA30" s="15" t="n">
        <f aca="false">CA29+BZ30</f>
        <v>0</v>
      </c>
      <c r="CB30" s="15" t="n">
        <f aca="false">IFERROR(LARGE($AM$6:$AP$25,29),0)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328</v>
      </c>
      <c r="L31" s="8" t="s">
        <v>229</v>
      </c>
      <c r="T31" s="15" t="s">
        <v>236</v>
      </c>
      <c r="U31" s="15" t="n">
        <f aca="false">IF($U$21&gt;=100,1,0)</f>
        <v>1</v>
      </c>
      <c r="BZ31" s="15" t="n">
        <f aca="false">IFERROR(LARGE($AH$6:$AK$25,30),0)</f>
        <v>0</v>
      </c>
      <c r="CA31" s="15" t="n">
        <f aca="false">CA30+BZ31</f>
        <v>0</v>
      </c>
      <c r="CB31" s="15" t="n">
        <f aca="false">IFERROR(LARGE($AM$6:$AP$25,30),0)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329</v>
      </c>
      <c r="L32" s="45" t="s">
        <v>232</v>
      </c>
      <c r="T32" s="15" t="s">
        <v>239</v>
      </c>
      <c r="U32" s="15" t="n">
        <f aca="false">IF(AND($U$22&gt;=$U$26,$U$23&gt;=1),1,0)</f>
        <v>1</v>
      </c>
      <c r="BZ32" s="15" t="n">
        <f aca="false">IFERROR(LARGE($AH$6:$AK$25,31),0)</f>
        <v>0</v>
      </c>
      <c r="CA32" s="15" t="n">
        <f aca="false">CA31+BZ32</f>
        <v>0</v>
      </c>
      <c r="CB32" s="15" t="n">
        <f aca="false">IFERROR(LARGE($AM$6:$AP$25,31),0)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330</v>
      </c>
      <c r="L33" s="46" t="s">
        <v>235</v>
      </c>
      <c r="T33" s="15" t="s">
        <v>243</v>
      </c>
      <c r="U33" s="15" t="n">
        <f aca="false">$U$31*$U$32</f>
        <v>1</v>
      </c>
      <c r="BZ33" s="15" t="n">
        <f aca="false">IFERROR(LARGE($AH$6:$AK$25,32),0)</f>
        <v>0</v>
      </c>
      <c r="CA33" s="15" t="n">
        <f aca="false">CA32+BZ33</f>
        <v>0</v>
      </c>
      <c r="CB33" s="15" t="n">
        <f aca="false">IFERROR(LARGE($AM$6:$AP$25,32),0)</f>
        <v>0</v>
      </c>
      <c r="CC33" s="15" t="n">
        <f aca="false">CC32+CB33</f>
        <v>0</v>
      </c>
    </row>
    <row r="34" customFormat="false" ht="15" hidden="false" customHeight="false" outlineLevel="0" collapsed="false">
      <c r="L34" s="47" t="s">
        <v>238</v>
      </c>
      <c r="T34" s="15" t="s">
        <v>246</v>
      </c>
      <c r="U34" s="15" t="n">
        <f aca="false">INDEX($DG$3:$DG$3,$U$13)+$U$27</f>
        <v>37</v>
      </c>
      <c r="BZ34" s="15" t="n">
        <f aca="false">IFERROR(LARGE($AH$6:$AK$25,33),0)</f>
        <v>0</v>
      </c>
      <c r="CA34" s="15" t="n">
        <f aca="false">CA33+BZ34</f>
        <v>0</v>
      </c>
      <c r="CB34" s="15" t="n">
        <f aca="false">IFERROR(LARGE($AM$6:$AP$25,33),0)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8" t="s">
        <v>331</v>
      </c>
      <c r="T35" s="15" t="s">
        <v>247</v>
      </c>
      <c r="U35" s="15" t="n">
        <f aca="false">IF($U$34=0,1,0)</f>
        <v>0</v>
      </c>
      <c r="BZ35" s="15" t="n">
        <f aca="false">IFERROR(LARGE($AH$6:$AK$25,34),0)</f>
        <v>0</v>
      </c>
      <c r="CA35" s="15" t="n">
        <f aca="false">CA34+BZ35</f>
        <v>0</v>
      </c>
      <c r="CB35" s="15" t="n">
        <f aca="false">IFERROR(LARGE($AM$6:$AP$25,34),0)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49" t="s">
        <v>332</v>
      </c>
      <c r="L36" s="48" t="s">
        <v>242</v>
      </c>
      <c r="T36" s="15" t="s">
        <v>249</v>
      </c>
      <c r="U36" s="15" t="n">
        <f aca="false">IF($U$35=1,INDEX($CQ$3:$CQ$3,$U$13),INDEX($CQ$23:$CQ$23,$U$14))</f>
        <v>280</v>
      </c>
      <c r="BZ36" s="15" t="n">
        <f aca="false">IFERROR(LARGE($AH$6:$AK$25,35),0)</f>
        <v>0</v>
      </c>
      <c r="CA36" s="15" t="n">
        <f aca="false">CA35+BZ36</f>
        <v>0</v>
      </c>
      <c r="CB36" s="15" t="n">
        <f aca="false">IFERROR(LARGE($AM$6:$AP$25,35),0)</f>
        <v>0</v>
      </c>
      <c r="CC36" s="15" t="n">
        <f aca="false">CC35+CB36</f>
        <v>0</v>
      </c>
    </row>
    <row r="37" customFormat="false" ht="15" hidden="false" customHeight="false" outlineLevel="0" collapsed="false">
      <c r="L37" s="48" t="s">
        <v>245</v>
      </c>
      <c r="T37" s="15" t="s">
        <v>251</v>
      </c>
      <c r="U37" s="15" t="n">
        <f aca="false">IF($U$35=1,INDEX($CK$3:$CK$3,$U$13),INDEX($CK$23:$CK$23,$U$14))</f>
        <v>32</v>
      </c>
      <c r="BZ37" s="15" t="n">
        <f aca="false">IFERROR(LARGE($AH$6:$AK$25,36),0)</f>
        <v>0</v>
      </c>
      <c r="CA37" s="15" t="n">
        <f aca="false">CA36+BZ37</f>
        <v>0</v>
      </c>
      <c r="CB37" s="15" t="n">
        <f aca="false">IFERROR(LARGE($AM$6:$AP$25,36),0)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0" t="s">
        <v>333</v>
      </c>
      <c r="T38" s="15" t="s">
        <v>252</v>
      </c>
      <c r="U38" s="15" t="n">
        <f aca="false">IF($U$35=1,INDEX($CR$3:$CR$3,$U$13),INDEX($CR$23:$CR$23,$U$14))</f>
        <v>0</v>
      </c>
      <c r="BZ38" s="15" t="n">
        <f aca="false">IFERROR(LARGE($AH$6:$AK$25,37),0)</f>
        <v>0</v>
      </c>
      <c r="CA38" s="15" t="n">
        <f aca="false">CA37+BZ38</f>
        <v>0</v>
      </c>
      <c r="CB38" s="15" t="n">
        <f aca="false">IFERROR(LARGE($AM$6:$AP$25,37),0)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1" t="s">
        <v>250</v>
      </c>
      <c r="T39" s="15" t="s">
        <v>253</v>
      </c>
      <c r="U39" s="15" t="n">
        <f aca="false">IF($U$35=1,INDEX($CS$3:$CS$3,$U$13),INDEX($CS$23:$CS$23,$U$14))</f>
        <v>99</v>
      </c>
      <c r="BZ39" s="15" t="n">
        <f aca="false">IFERROR(LARGE($AH$6:$AK$25,38),0)</f>
        <v>0</v>
      </c>
      <c r="CA39" s="15" t="n">
        <f aca="false">CA38+BZ39</f>
        <v>0</v>
      </c>
      <c r="CB39" s="15" t="n">
        <f aca="false">IFERROR(LARGE($AM$6:$AP$25,38),0)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254</v>
      </c>
      <c r="U40" s="15" t="n">
        <f aca="false">IF($U$35=1,INDEX($CT$3:$CT$3,$U$13),INDEX($CT$23:$CT$23,$U$14))</f>
        <v>0</v>
      </c>
      <c r="BZ40" s="15" t="n">
        <f aca="false">IFERROR(LARGE($AH$6:$AK$25,39),0)</f>
        <v>0</v>
      </c>
      <c r="CA40" s="15" t="n">
        <f aca="false">CA39+BZ40</f>
        <v>0</v>
      </c>
      <c r="CB40" s="15" t="n">
        <f aca="false">IFERROR(LARGE($AM$6:$AP$25,39),0)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255</v>
      </c>
      <c r="U41" s="15" t="n">
        <f aca="false">IF($U$35=1,INDEX($CL$3:$CL$3,$U$13),INDEX($CL$23:$CL$23,$U$14))</f>
        <v>112</v>
      </c>
      <c r="BZ41" s="15" t="n">
        <f aca="false">IFERROR(LARGE($AH$6:$AK$25,40),0)</f>
        <v>0</v>
      </c>
      <c r="CA41" s="15" t="n">
        <f aca="false">CA40+BZ41</f>
        <v>0</v>
      </c>
      <c r="CB41" s="15" t="n">
        <f aca="false">IFERROR(LARGE($AM$6:$AP$25,40),0)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256</v>
      </c>
      <c r="U42" s="15" t="n">
        <f aca="false">IF($U$35=1,INDEX($CU$3:$CU$3,$U$13),INDEX($CU$23:$CU$23,$U$14))</f>
        <v>168</v>
      </c>
      <c r="BZ42" s="15" t="n">
        <f aca="false">IFERROR(LARGE($AH$6:$AK$25,41),0)</f>
        <v>0</v>
      </c>
      <c r="CA42" s="15" t="n">
        <f aca="false">CA41+BZ42</f>
        <v>0</v>
      </c>
      <c r="CB42" s="15" t="n">
        <f aca="false">IFERROR(LARGE($AM$6:$AP$25,41),0)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257</v>
      </c>
      <c r="U43" s="15" t="n">
        <f aca="false">IF($U$35=1,INDEX($CP$3:$CP$3,$U$13),INDEX($CP$23:$CP$23,$U$14))</f>
        <v>40</v>
      </c>
      <c r="BZ43" s="15" t="n">
        <f aca="false">IFERROR(LARGE($AH$6:$AK$25,42),0)</f>
        <v>0</v>
      </c>
      <c r="CA43" s="15" t="n">
        <f aca="false">CA42+BZ43</f>
        <v>0</v>
      </c>
      <c r="CB43" s="15" t="n">
        <f aca="false">IFERROR(LARGE($AM$6:$AP$25,42),0)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258</v>
      </c>
      <c r="U44" s="15" t="n">
        <f aca="false">IF($U$35=1,INDEX($CO$3:$CO$3,$U$13),INDEX($CO$23:$CO$23,$U$14))</f>
        <v>280</v>
      </c>
      <c r="BZ44" s="15" t="n">
        <f aca="false">IFERROR(LARGE($AH$6:$AK$25,43),0)</f>
        <v>0</v>
      </c>
      <c r="CA44" s="15" t="n">
        <f aca="false">CA43+BZ44</f>
        <v>0</v>
      </c>
      <c r="CB44" s="15" t="n">
        <f aca="false">IFERROR(LARGE($AM$6:$AP$25,43),0)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259</v>
      </c>
      <c r="U45" s="15" t="n">
        <f aca="false">IF($U$35=1,INDEX($CH$3:$CH$3,$U$13),INDEX($CH$23:$CH$23,$U$14))</f>
        <v>0</v>
      </c>
      <c r="BZ45" s="15" t="n">
        <f aca="false">IFERROR(LARGE($AH$6:$AK$25,44),0)</f>
        <v>0</v>
      </c>
      <c r="CA45" s="15" t="n">
        <f aca="false">CA44+BZ45</f>
        <v>0</v>
      </c>
      <c r="CB45" s="15" t="n">
        <f aca="false">IFERROR(LARGE($AM$6:$AP$25,44),0)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260</v>
      </c>
      <c r="U46" s="15" t="n">
        <f aca="false">IF($U$35=1,INDEX($DF$3:$DF$3,$U$13),INDEX($DF$23:$DF$23,$U$14))</f>
        <v>1</v>
      </c>
      <c r="BZ46" s="15" t="n">
        <f aca="false">IFERROR(LARGE($AH$6:$AK$25,45),0)</f>
        <v>0</v>
      </c>
      <c r="CA46" s="15" t="n">
        <f aca="false">CA45+BZ46</f>
        <v>0</v>
      </c>
      <c r="CB46" s="15" t="n">
        <f aca="false">IFERROR(LARGE($AM$6:$AP$25,45),0)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261</v>
      </c>
      <c r="U47" s="15" t="n">
        <f aca="false">IF($U$35=1,INDEX($CV$3:$CV$3,$U$13),INDEX($CV$23:$CV$23,$U$14))</f>
        <v>1</v>
      </c>
      <c r="BZ47" s="15" t="n">
        <f aca="false">IFERROR(LARGE($AH$6:$AK$25,46),0)</f>
        <v>0</v>
      </c>
      <c r="CA47" s="15" t="n">
        <f aca="false">CA46+BZ47</f>
        <v>0</v>
      </c>
      <c r="CB47" s="15" t="n">
        <f aca="false">IFERROR(LARGE($AM$6:$AP$25,46),0)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262</v>
      </c>
      <c r="U48" s="15" t="n">
        <f aca="false">IF($U$35=1,INDEX($CW$3:$CW$3,$U$13),INDEX($CW$23:$CW$23,$U$14))</f>
        <v>1</v>
      </c>
      <c r="BZ48" s="15" t="n">
        <f aca="false">IFERROR(LARGE($AH$6:$AK$25,47),0)</f>
        <v>0</v>
      </c>
      <c r="CA48" s="15" t="n">
        <f aca="false">CA47+BZ48</f>
        <v>0</v>
      </c>
      <c r="CB48" s="15" t="n">
        <f aca="false">IFERROR(LARGE($AM$6:$AP$25,47),0)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263</v>
      </c>
      <c r="U49" s="15" t="n">
        <f aca="false">IF($U$35=1,INDEX($CX$3:$CX$3,$U$13),INDEX($CX$23:$CX$23,$U$14))</f>
        <v>1</v>
      </c>
      <c r="BZ49" s="15" t="n">
        <f aca="false">IFERROR(LARGE($AH$6:$AK$25,48),0)</f>
        <v>0</v>
      </c>
      <c r="CA49" s="15" t="n">
        <f aca="false">CA48+BZ49</f>
        <v>0</v>
      </c>
      <c r="CB49" s="15" t="n">
        <f aca="false">IFERROR(LARGE($AM$6:$AP$25,48),0)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264</v>
      </c>
      <c r="U50" s="15" t="n">
        <f aca="false">IF($U$35=1,INDEX($CY$3:$CY$3,$U$13),INDEX($CY$23:$CY$23,$U$14))</f>
        <v>1</v>
      </c>
      <c r="BZ50" s="15" t="n">
        <f aca="false">IFERROR(LARGE($AH$6:$AK$25,49),0)</f>
        <v>0</v>
      </c>
      <c r="CA50" s="15" t="n">
        <f aca="false">CA49+BZ50</f>
        <v>0</v>
      </c>
      <c r="CB50" s="15" t="n">
        <f aca="false">IFERROR(LARGE($AM$6:$AP$25,49),0)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265</v>
      </c>
      <c r="U51" s="15" t="n">
        <f aca="false">IF($U$35=1,INDEX($CZ$3:$CZ$3,$U$13),INDEX($CZ$23:$CZ$23,$U$14))</f>
        <v>1</v>
      </c>
      <c r="BZ51" s="15" t="n">
        <f aca="false">IFERROR(LARGE($AH$6:$AK$25,50),0)</f>
        <v>0</v>
      </c>
      <c r="CA51" s="15" t="n">
        <f aca="false">CA50+BZ51</f>
        <v>0</v>
      </c>
      <c r="CB51" s="15" t="n">
        <f aca="false">IFERROR(LARGE($AM$6:$AP$25,50),0)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266</v>
      </c>
      <c r="U52" s="15" t="n">
        <f aca="false">IF($U$35=1,INDEX($DA$3:$DA$3,$U$13),INDEX($DA$23:$DA$23,$U$14))</f>
        <v>1</v>
      </c>
      <c r="BZ52" s="15" t="n">
        <f aca="false">IFERROR(LARGE($AH$6:$AK$25,51),0)</f>
        <v>0</v>
      </c>
      <c r="CA52" s="15" t="n">
        <f aca="false">CA51+BZ52</f>
        <v>0</v>
      </c>
      <c r="CB52" s="15" t="n">
        <f aca="false">IFERROR(LARGE($AM$6:$AP$25,51),0)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267</v>
      </c>
      <c r="U53" s="15" t="n">
        <f aca="false">IF($U$35=1,INDEX($DB$3:$DB$3,$U$13),INDEX($DB$23:$DB$23,$U$14))</f>
        <v>1</v>
      </c>
      <c r="BZ53" s="15" t="n">
        <f aca="false">IFERROR(LARGE($AH$6:$AK$25,52),0)</f>
        <v>0</v>
      </c>
      <c r="CA53" s="15" t="n">
        <f aca="false">CA52+BZ53</f>
        <v>0</v>
      </c>
      <c r="CB53" s="15" t="n">
        <f aca="false">IFERROR(LARGE($AM$6:$AP$25,52),0)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268</v>
      </c>
      <c r="U54" s="15" t="n">
        <f aca="false">IF($U$35=1,INDEX($DC$3:$DC$3,$U$13),INDEX($DC$23:$DC$23,$U$14))</f>
        <v>1</v>
      </c>
      <c r="BZ54" s="15" t="n">
        <f aca="false">IFERROR(LARGE($AH$6:$AK$25,53),0)</f>
        <v>0</v>
      </c>
      <c r="CA54" s="15" t="n">
        <f aca="false">CA53+BZ54</f>
        <v>0</v>
      </c>
      <c r="CB54" s="15" t="n">
        <f aca="false">IFERROR(LARGE($AM$6:$AP$25,53),0)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269</v>
      </c>
      <c r="U55" s="15" t="n">
        <f aca="false">IF($U$35=1,INDEX($DD$3:$DD$3,$U$13),INDEX($DD$23:$DD$23,$U$14))</f>
        <v>1</v>
      </c>
      <c r="BZ55" s="15" t="n">
        <f aca="false">IFERROR(LARGE($AH$6:$AK$25,54),0)</f>
        <v>0</v>
      </c>
      <c r="CA55" s="15" t="n">
        <f aca="false">CA54+BZ55</f>
        <v>0</v>
      </c>
      <c r="CB55" s="15" t="n">
        <f aca="false">IFERROR(LARGE($AM$6:$AP$25,54),0)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270</v>
      </c>
      <c r="U56" s="15" t="n">
        <f aca="false">IF($U$35=1,INDEX($DE$3:$DE$3,$U$13),INDEX($DE$23:$DE$23,$U$14))</f>
        <v>1</v>
      </c>
      <c r="BZ56" s="15" t="n">
        <f aca="false">IFERROR(LARGE($AH$6:$AK$25,55),0)</f>
        <v>0</v>
      </c>
      <c r="CA56" s="15" t="n">
        <f aca="false">CA55+BZ56</f>
        <v>0</v>
      </c>
      <c r="CB56" s="15" t="n">
        <f aca="false">IFERROR(LARGE($AM$6:$AP$25,55),0)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271</v>
      </c>
      <c r="U57" s="15" t="n">
        <f aca="false">IF($U$35=1,$U$13,$U$14)</f>
        <v>1</v>
      </c>
      <c r="BZ57" s="15" t="n">
        <f aca="false">IFERROR(LARGE($AH$6:$AK$25,56),0)</f>
        <v>0</v>
      </c>
      <c r="CA57" s="15" t="n">
        <f aca="false">CA56+BZ57</f>
        <v>0</v>
      </c>
      <c r="CB57" s="15" t="n">
        <f aca="false">IFERROR(LARGE($AM$6:$AP$25,56),0)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272</v>
      </c>
      <c r="U58" s="15" t="n">
        <f aca="false">IF($U$35=1,$U$9,$V$9)</f>
        <v>0</v>
      </c>
      <c r="BZ58" s="15" t="n">
        <f aca="false">IFERROR(LARGE($AH$6:$AK$25,57),0)</f>
        <v>0</v>
      </c>
      <c r="CA58" s="15" t="n">
        <f aca="false">CA57+BZ58</f>
        <v>0</v>
      </c>
      <c r="CB58" s="15" t="n">
        <f aca="false">IFERROR(LARGE($AM$6:$AP$25,57),0)</f>
        <v>0</v>
      </c>
      <c r="CC58" s="15" t="n">
        <f aca="false">CC57+CB58</f>
        <v>0</v>
      </c>
    </row>
    <row r="59" customFormat="false" ht="15" hidden="false" customHeight="false" outlineLevel="0" collapsed="false">
      <c r="T59" s="15" t="s">
        <v>273</v>
      </c>
      <c r="U59" s="15" t="n">
        <f aca="false">IF($U$35=1,$U$16,$U$21)</f>
        <v>140</v>
      </c>
      <c r="BZ59" s="15" t="n">
        <f aca="false">IFERROR(LARGE($AH$6:$AK$25,58),0)</f>
        <v>0</v>
      </c>
      <c r="CA59" s="15" t="n">
        <f aca="false">CA58+BZ59</f>
        <v>0</v>
      </c>
      <c r="CB59" s="15" t="n">
        <f aca="false">IFERROR(LARGE($AM$6:$AP$25,58),0)</f>
        <v>0</v>
      </c>
      <c r="CC59" s="15" t="n">
        <f aca="false">CC58+CB59</f>
        <v>0</v>
      </c>
    </row>
    <row r="60" customFormat="false" ht="15" hidden="false" customHeight="false" outlineLevel="0" collapsed="false">
      <c r="T60" s="15" t="s">
        <v>274</v>
      </c>
      <c r="U60" s="15" t="n">
        <f aca="false">IF($U$35=1,$U$17,$U$22)</f>
        <v>5</v>
      </c>
      <c r="BZ60" s="15" t="n">
        <f aca="false">IFERROR(LARGE($AH$6:$AK$25,59),0)</f>
        <v>0</v>
      </c>
      <c r="CA60" s="15" t="n">
        <f aca="false">CA59+BZ60</f>
        <v>0</v>
      </c>
      <c r="CB60" s="15" t="n">
        <f aca="false">IFERROR(LARGE($AM$6:$AP$25,59),0)</f>
        <v>0</v>
      </c>
      <c r="CC60" s="15" t="n">
        <f aca="false">CC59+CB60</f>
        <v>0</v>
      </c>
    </row>
    <row r="61" customFormat="false" ht="15" hidden="false" customHeight="false" outlineLevel="0" collapsed="false">
      <c r="T61" s="15" t="s">
        <v>275</v>
      </c>
      <c r="U61" s="15" t="n">
        <f aca="false">IF($U$35=1,$U$28,$U$31)</f>
        <v>1</v>
      </c>
    </row>
    <row r="62" customFormat="false" ht="15" hidden="false" customHeight="false" outlineLevel="0" collapsed="false">
      <c r="T62" s="15" t="s">
        <v>276</v>
      </c>
      <c r="U62" s="15" t="n">
        <f aca="false">IF($U$35=1,$U$29,$U$32)</f>
        <v>1</v>
      </c>
    </row>
    <row r="63" customFormat="false" ht="15" hidden="false" customHeight="false" outlineLevel="0" collapsed="false">
      <c r="T63" s="15" t="s">
        <v>278</v>
      </c>
      <c r="U63" s="15" t="n">
        <f aca="false">IF($U$35=1,$U$30,$U$33)</f>
        <v>1</v>
      </c>
    </row>
    <row r="64" customFormat="false" ht="15" hidden="false" customHeight="false" outlineLevel="0" collapsed="false">
      <c r="T64" s="15" t="s">
        <v>188</v>
      </c>
      <c r="U64" s="15" t="n">
        <f aca="false">$U$36+$U$59</f>
        <v>420</v>
      </c>
    </row>
    <row r="65" customFormat="false" ht="15" hidden="false" customHeight="false" outlineLevel="0" collapsed="false">
      <c r="T65" s="15" t="s">
        <v>279</v>
      </c>
      <c r="U65" s="15" t="n">
        <f aca="false">IF($U$64&gt;=300,1,0)</f>
        <v>1</v>
      </c>
    </row>
    <row r="66" customFormat="false" ht="15" hidden="false" customHeight="false" outlineLevel="0" collapsed="false">
      <c r="T66" s="15" t="s">
        <v>280</v>
      </c>
      <c r="U66" s="15" t="n">
        <f aca="false">IF($U$46*$U$63*$U$65=1,1,0)</f>
        <v>1</v>
      </c>
    </row>
    <row r="67" customFormat="false" ht="15" hidden="false" customHeight="false" outlineLevel="0" collapsed="false">
      <c r="T67" s="15" t="s">
        <v>281</v>
      </c>
      <c r="U67" s="15" t="n">
        <f aca="false">IF($U$64&lt;300,"",MAX(10,MIN(40,INT((1020-$U$64)/18))))</f>
        <v>33</v>
      </c>
    </row>
    <row r="68" customFormat="false" ht="15" hidden="false" customHeight="false" outlineLevel="0" collapsed="false">
      <c r="T68" s="15" t="s">
        <v>282</v>
      </c>
      <c r="U68" s="15" t="n">
        <f aca="false">IF($U$67="",MAX(0,300-$U$64),IF($U$67&gt;10,1021-18*$U$67-$U$64,""))</f>
        <v>7</v>
      </c>
    </row>
    <row r="69" customFormat="false" ht="15" hidden="false" customHeight="false" outlineLevel="0" collapsed="false">
      <c r="T69" s="15" t="s">
        <v>283</v>
      </c>
      <c r="U69" s="15" t="n">
        <f aca="false">IF($U$67="","",$U$64-IF($U$67&gt;=40,300,1020-18*($U$67+1)+1))</f>
        <v>11</v>
      </c>
    </row>
  </sheetData>
  <sheetProtection sheet="true" formatCells="false" formatColumns="false" formatRows="false"/>
  <mergeCells count="1">
    <mergeCell ref="M6:N6"/>
  </mergeCells>
  <conditionalFormatting sqref="E6:H25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10">
    <cfRule type="expression" priority="5" aboveAverage="0" equalAverage="0" bottom="0" percent="0" rank="0" text="" dxfId="3">
      <formula>AND(ISNUMBER(I6),I6&lt;5)</formula>
    </cfRule>
  </conditionalFormatting>
  <conditionalFormatting sqref="M19:M28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2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8 E9:I10 E12:H25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2:D25" type="list">
      <formula1>"x"</formula1>
      <formula2>0</formula2>
    </dataValidation>
  </dataValidations>
  <hyperlinks>
    <hyperlink ref="B36" r:id="rId2" display="https://www.schulgesetz-berlin.de/berlin/verordnung-ueber-die-gymnasiale-oberstufe/teil-iii-durchfuehrung-der-gymnasialen-oberstufe/kapitel-3-qualifikationsphase/sect-26-gesamtqualifikation.php"/>
    <hyperlink ref="B38" r:id="rId3" display="Online-Rechner Berlin mit Statistik und PDF-Download: https://www.abi-rechner.com/bundeslander/berlin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Berlin · abi-rechner.com · Stand September 2026</oddFooter>
  </headerFooter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7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334</v>
      </c>
      <c r="T1" s="15" t="s">
        <v>72</v>
      </c>
      <c r="BZ1" s="15" t="s">
        <v>73</v>
      </c>
      <c r="CA1" s="15" t="s">
        <v>74</v>
      </c>
      <c r="CB1" s="15" t="s">
        <v>75</v>
      </c>
      <c r="CC1" s="15" t="s">
        <v>76</v>
      </c>
    </row>
    <row r="2" customFormat="false" ht="15" hidden="false" customHeight="false" outlineLevel="0" collapsed="false">
      <c r="B2" s="2" t="str">
        <f aca="false">IF($M$3&amp;""="2028","Abitur 2028 und später (GOSTV 2025)","Abitur 2027 (GOSTV Fassung 2021)")&amp;" · Stand: September 2026 · abi-rechner.com"</f>
        <v>Abitur 2027 (GOSTV Fassung 2021) · Stand: September 2026 · abi-rechner.com</v>
      </c>
      <c r="T2" s="15" t="s">
        <v>78</v>
      </c>
      <c r="U2" s="15" t="n">
        <f aca="false">IFERROR(AVERAGE($E$6:$H$24),7)</f>
        <v>7</v>
      </c>
      <c r="BZ2" s="15" t="n">
        <f aca="false">IFERROR(LARGE($AH$6:$AK$24,1),0)</f>
        <v>0</v>
      </c>
      <c r="CA2" s="15" t="n">
        <f aca="false">BZ2</f>
        <v>0</v>
      </c>
      <c r="CB2" s="15" t="n">
        <f aca="false">IFERROR(LARGE($AM$6:$AP$24,1),0)</f>
        <v>0</v>
      </c>
      <c r="CC2" s="15" t="n">
        <f aca="false">CB2</f>
        <v>0</v>
      </c>
      <c r="CE2" s="15" t="s">
        <v>79</v>
      </c>
      <c r="CF2" s="15" t="s">
        <v>80</v>
      </c>
      <c r="CG2" s="15" t="s">
        <v>81</v>
      </c>
      <c r="CH2" s="15" t="s">
        <v>82</v>
      </c>
      <c r="CI2" s="15" t="s">
        <v>83</v>
      </c>
      <c r="CJ2" s="15" t="s">
        <v>84</v>
      </c>
      <c r="CK2" s="15" t="s">
        <v>85</v>
      </c>
      <c r="CL2" s="15" t="s">
        <v>86</v>
      </c>
      <c r="CM2" s="15" t="s">
        <v>87</v>
      </c>
      <c r="CN2" s="15" t="s">
        <v>88</v>
      </c>
      <c r="CO2" s="15" t="s">
        <v>89</v>
      </c>
      <c r="CP2" s="15" t="s">
        <v>90</v>
      </c>
      <c r="CQ2" s="15" t="s">
        <v>91</v>
      </c>
      <c r="CR2" s="15" t="s">
        <v>92</v>
      </c>
      <c r="CS2" s="15" t="s">
        <v>93</v>
      </c>
      <c r="CT2" s="15" t="s">
        <v>94</v>
      </c>
      <c r="CU2" s="15" t="s">
        <v>95</v>
      </c>
      <c r="CV2" s="15" t="s">
        <v>96</v>
      </c>
      <c r="CW2" s="15" t="s">
        <v>97</v>
      </c>
      <c r="CX2" s="15" t="s">
        <v>98</v>
      </c>
      <c r="CY2" s="15" t="s">
        <v>99</v>
      </c>
      <c r="CZ2" s="15" t="s">
        <v>100</v>
      </c>
      <c r="DA2" s="15" t="s">
        <v>101</v>
      </c>
      <c r="DB2" s="15" t="s">
        <v>102</v>
      </c>
      <c r="DC2" s="15" t="s">
        <v>103</v>
      </c>
      <c r="DD2" s="15" t="s">
        <v>104</v>
      </c>
      <c r="DE2" s="15" t="s">
        <v>105</v>
      </c>
      <c r="DF2" s="15" t="s">
        <v>106</v>
      </c>
      <c r="DG2" s="15" t="s">
        <v>107</v>
      </c>
      <c r="DH2" s="15" t="s">
        <v>108</v>
      </c>
    </row>
    <row r="3" customFormat="false" ht="15" hidden="false" customHeight="false" outlineLevel="0" collapsed="false">
      <c r="B3" s="16" t="s">
        <v>109</v>
      </c>
      <c r="L3" s="44" t="s">
        <v>335</v>
      </c>
      <c r="M3" s="53" t="s">
        <v>336</v>
      </c>
      <c r="T3" s="15" t="s">
        <v>110</v>
      </c>
      <c r="U3" s="15" t="n">
        <f aca="false">IFERROR(AVERAGE($I$6:$I$9),$U$2)</f>
        <v>7</v>
      </c>
      <c r="BZ3" s="15" t="n">
        <f aca="false">IFERROR(LARGE($AH$6:$AK$24,2),0)</f>
        <v>0</v>
      </c>
      <c r="CA3" s="15" t="n">
        <f aca="false">CA2+BZ3</f>
        <v>0</v>
      </c>
      <c r="CB3" s="15" t="n">
        <f aca="false">IFERROR(LARGE($AM$6:$AP$24,2),0)</f>
        <v>0</v>
      </c>
      <c r="CC3" s="15" t="n">
        <f aca="false">CC2+CB3</f>
        <v>0</v>
      </c>
      <c r="CE3" s="15" t="n">
        <f aca="false">IF($M$3&amp;""="2028",36,38)</f>
        <v>38</v>
      </c>
      <c r="CF3" s="15" t="n">
        <f aca="false">CE3-$U$5-$U$6-0</f>
        <v>22</v>
      </c>
      <c r="CG3" s="15" t="n">
        <f aca="false">MAX(0,CF3)</f>
        <v>22</v>
      </c>
      <c r="CH3" s="15" t="n">
        <f aca="false">MIN(CG3,$U$7)</f>
        <v>0</v>
      </c>
      <c r="CI3" s="15" t="n">
        <f aca="false">CG3-CH3</f>
        <v>22</v>
      </c>
      <c r="CJ3" s="15" t="n">
        <f aca="false">0</f>
        <v>0</v>
      </c>
      <c r="CK3" s="15" t="n">
        <f aca="false">$U$5+CH3+CJ3</f>
        <v>0</v>
      </c>
      <c r="CL3" s="15" t="n">
        <f aca="false">2*AW6+2*AX6+2*AW7+2*AX7</f>
        <v>0</v>
      </c>
      <c r="CM3" s="15" t="n">
        <f aca="false">2*AY6+2*AZ6+2*AY7+2*AZ7+1*AY8+1*AZ8+1*AY9+1*AZ9+SUM($AA$11:$AA$24)</f>
        <v>0</v>
      </c>
      <c r="CN3" s="15" t="n">
        <f aca="false">IF(CH3=0,0,INDEX($CA$2:$CA$57,CH3))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IF(CP3&gt;0,MIN(600,INT((CO3/CP3*40)+0.5+0.000000001)),0)</f>
        <v>0</v>
      </c>
      <c r="CR3" s="15" t="n">
        <f aca="false">$U$9+CT3</f>
        <v>0</v>
      </c>
      <c r="CS3" s="15" t="n">
        <f aca="false">99</f>
        <v>99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1</f>
        <v>1</v>
      </c>
      <c r="CX3" s="15" t="n">
        <f aca="false">IF($U$9&lt;=3,1,0)</f>
        <v>1</v>
      </c>
      <c r="CY3" s="15" t="n">
        <f aca="false">IF(CT3&lt;=4,1,0)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38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111</v>
      </c>
      <c r="U4" s="15" t="n">
        <f aca="false">IF(COUNT($E$6:$H$24,$I$6:$I$9)&gt;0,1,0)</f>
        <v>0</v>
      </c>
      <c r="BZ4" s="15" t="n">
        <f aca="false">IFERROR(LARGE($AH$6:$AK$24,3),0)</f>
        <v>0</v>
      </c>
      <c r="CA4" s="15" t="n">
        <f aca="false">CA3+BZ4</f>
        <v>0</v>
      </c>
      <c r="CB4" s="15" t="n">
        <f aca="false">IFERROR(LARGE($AM$6:$AP$24,3),0)</f>
        <v>0</v>
      </c>
      <c r="CC4" s="15" t="n">
        <f aca="false">CC3+CB4</f>
        <v>0</v>
      </c>
    </row>
    <row r="5" customFormat="false" ht="30" hidden="false" customHeight="true" outlineLevel="0" collapsed="false">
      <c r="B5" s="17" t="s">
        <v>9</v>
      </c>
      <c r="C5" s="17" t="s">
        <v>112</v>
      </c>
      <c r="D5" s="18"/>
      <c r="E5" s="18" t="s">
        <v>113</v>
      </c>
      <c r="F5" s="18" t="s">
        <v>114</v>
      </c>
      <c r="G5" s="18" t="s">
        <v>115</v>
      </c>
      <c r="H5" s="18" t="s">
        <v>116</v>
      </c>
      <c r="I5" s="18" t="s">
        <v>11</v>
      </c>
      <c r="J5" s="18" t="s">
        <v>117</v>
      </c>
      <c r="L5" s="19" t="s">
        <v>118</v>
      </c>
      <c r="M5" s="20"/>
      <c r="N5" s="20"/>
      <c r="T5" s="15" t="s">
        <v>119</v>
      </c>
      <c r="U5" s="15" t="n">
        <f aca="false">AY6+AY7+AY8+AY9+AZ6+AZ7+AZ8+AZ9+SUM($AA$11:$AA$24)</f>
        <v>0</v>
      </c>
      <c r="V5" s="15" t="n">
        <f aca="false">BG6+BG7+BG8+BG9+BH6+BH7+BH8+BH9+SUM($AE$11:$AE$24)</f>
        <v>16</v>
      </c>
      <c r="AH5" s="15" t="s">
        <v>120</v>
      </c>
      <c r="AM5" s="15" t="s">
        <v>121</v>
      </c>
      <c r="AR5" s="15" t="s">
        <v>122</v>
      </c>
      <c r="AW5" s="15" t="s">
        <v>123</v>
      </c>
      <c r="AX5" s="15" t="s">
        <v>124</v>
      </c>
      <c r="AY5" s="15" t="s">
        <v>125</v>
      </c>
      <c r="AZ5" s="15" t="s">
        <v>126</v>
      </c>
      <c r="BA5" s="15" t="s">
        <v>127</v>
      </c>
      <c r="BB5" s="15" t="s">
        <v>128</v>
      </c>
      <c r="BC5" s="15" t="s">
        <v>129</v>
      </c>
      <c r="BD5" s="15" t="s">
        <v>130</v>
      </c>
      <c r="BE5" s="15" t="s">
        <v>131</v>
      </c>
      <c r="BF5" s="15" t="s">
        <v>132</v>
      </c>
      <c r="BG5" s="15" t="s">
        <v>133</v>
      </c>
      <c r="BH5" s="15" t="s">
        <v>134</v>
      </c>
      <c r="BI5" s="15" t="s">
        <v>135</v>
      </c>
      <c r="BJ5" s="15" t="s">
        <v>136</v>
      </c>
      <c r="BK5" s="15" t="s">
        <v>137</v>
      </c>
      <c r="BL5" s="15" t="s">
        <v>138</v>
      </c>
      <c r="BN5" s="15" t="s">
        <v>139</v>
      </c>
      <c r="BO5" s="15" t="s">
        <v>140</v>
      </c>
      <c r="BP5" s="15" t="s">
        <v>141</v>
      </c>
      <c r="BQ5" s="15" t="s">
        <v>128</v>
      </c>
      <c r="BR5" s="15" t="s">
        <v>142</v>
      </c>
      <c r="BT5" s="15" t="s">
        <v>143</v>
      </c>
      <c r="BU5" s="15" t="s">
        <v>144</v>
      </c>
      <c r="BV5" s="15" t="s">
        <v>145</v>
      </c>
      <c r="BW5" s="15" t="s">
        <v>136</v>
      </c>
      <c r="BX5" s="15" t="s">
        <v>146</v>
      </c>
      <c r="BZ5" s="15" t="n">
        <f aca="false">IFERROR(LARGE($AH$6:$AK$24,4),0)</f>
        <v>0</v>
      </c>
      <c r="CA5" s="15" t="n">
        <f aca="false">CA4+BZ5</f>
        <v>0</v>
      </c>
      <c r="CB5" s="15" t="n">
        <f aca="false">IFERROR(LARGE($AM$6:$AP$24,4),0)</f>
        <v>0</v>
      </c>
      <c r="CC5" s="15" t="n">
        <f aca="false">CC4+CB5</f>
        <v>0</v>
      </c>
    </row>
    <row r="6" customFormat="false" ht="39.75" hidden="false" customHeight="true" outlineLevel="0" collapsed="false">
      <c r="B6" s="21" t="s">
        <v>315</v>
      </c>
      <c r="C6" s="22"/>
      <c r="D6" s="23" t="s">
        <v>148</v>
      </c>
      <c r="E6" s="24"/>
      <c r="F6" s="24"/>
      <c r="G6" s="24"/>
      <c r="H6" s="24"/>
      <c r="I6" s="25"/>
      <c r="J6" s="24"/>
      <c r="L6" s="26" t="s">
        <v>149</v>
      </c>
      <c r="M6" s="27" t="str">
        <f aca="false">IF($U$4=0,"Noch keine Eingaben – trag deine Punkte in die gelben Felder ein.",IF($U$38=1,"Endergebnis (alle Felder ausgefüllt)","Prognose: "&amp;$U$37&amp;" Felder offen, gefüllt mit deinem Schnitt von "&amp;FIXED($U$2,1)&amp;" Punkten"))</f>
        <v>Noch keine Eingaben – trag deine Punkte in die gelben Felder ein.</v>
      </c>
      <c r="N6" s="27"/>
      <c r="T6" s="15" t="s">
        <v>150</v>
      </c>
      <c r="U6" s="15" t="n">
        <f aca="false">BC6+BC7+BC8+BC9</f>
        <v>16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IF(BN6="","",IF(ISNUMBER($J$6),INT(((2*BN6+$J$6)/3*$U$16)+0.5+0.000000001),BN6*$U$16))</f>
        <v/>
      </c>
      <c r="BP6" s="15" t="n">
        <f aca="false">IF(BO6="",0,IF(BO6&gt;=5*$U$16-0.000000001,1,0))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IF(BT6="","",IF(ISNUMBER($J$6),INT(((2*BT6+$J$6)/3*$U$16)+0.5+0.000000001),BT6*$U$16))</f>
        <v>35</v>
      </c>
      <c r="BV6" s="15" t="n">
        <f aca="false">IF(BU6="",0,IF(BU6&gt;=5*$U$16-0.000000001,1,0))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IFERROR(LARGE($AH$6:$AK$24,5),0)</f>
        <v>0</v>
      </c>
      <c r="CA6" s="15" t="n">
        <f aca="false">CA5+BZ6</f>
        <v>0</v>
      </c>
      <c r="CB6" s="15" t="n">
        <f aca="false">IFERROR(LARGE($AM$6:$AP$24,5),0)</f>
        <v>0</v>
      </c>
      <c r="CC6" s="15" t="n">
        <f aca="false">CC5+CB6</f>
        <v>0</v>
      </c>
    </row>
    <row r="7" customFormat="false" ht="37.5" hidden="false" customHeight="true" outlineLevel="0" collapsed="false">
      <c r="B7" s="21" t="s">
        <v>316</v>
      </c>
      <c r="C7" s="22"/>
      <c r="D7" s="23" t="s">
        <v>148</v>
      </c>
      <c r="E7" s="24"/>
      <c r="F7" s="24"/>
      <c r="G7" s="24"/>
      <c r="H7" s="24"/>
      <c r="I7" s="25"/>
      <c r="J7" s="24"/>
      <c r="L7" s="26" t="s">
        <v>152</v>
      </c>
      <c r="M7" s="28" t="str">
        <f aca="false">IF($U$4=0,"",$U$39)</f>
        <v/>
      </c>
      <c r="N7" s="29" t="s">
        <v>153</v>
      </c>
      <c r="T7" s="15" t="s">
        <v>154</v>
      </c>
      <c r="U7" s="15" t="n">
        <f aca="false">COUNT($AH$6:$AK$24)</f>
        <v>0</v>
      </c>
      <c r="V7" s="15" t="n">
        <f aca="false">COUNT($AM$6:$AP$24)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IF(BN7="","",IF(ISNUMBER($J$7),INT(((2*BN7+$J$7)/3*$U$16)+0.5+0.000000001),BN7*$U$16))</f>
        <v/>
      </c>
      <c r="BP7" s="15" t="n">
        <f aca="false">IF(BO7="",0,IF(BO7&gt;=5*$U$16-0.000000001,1,0))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IF(BT7="","",IF(ISNUMBER($J$7),INT(((2*BT7+$J$7)/3*$U$16)+0.5+0.000000001),BT7*$U$16))</f>
        <v>35</v>
      </c>
      <c r="BV7" s="15" t="n">
        <f aca="false">IF(BU7="",0,IF(BU7&gt;=5*$U$16-0.000000001,1,0))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IFERROR(LARGE($AH$6:$AK$24,6),0)</f>
        <v>0</v>
      </c>
      <c r="CA7" s="15" t="n">
        <f aca="false">CA6+BZ7</f>
        <v>0</v>
      </c>
      <c r="CB7" s="15" t="n">
        <f aca="false">IFERROR(LARGE($AM$6:$AP$24,6),0)</f>
        <v>0</v>
      </c>
      <c r="CC7" s="15" t="n">
        <f aca="false">CC6+CB7</f>
        <v>0</v>
      </c>
    </row>
    <row r="8" customFormat="false" ht="37.5" hidden="false" customHeight="true" outlineLevel="0" collapsed="false">
      <c r="B8" s="21" t="s">
        <v>317</v>
      </c>
      <c r="C8" s="22"/>
      <c r="D8" s="23" t="s">
        <v>148</v>
      </c>
      <c r="E8" s="24"/>
      <c r="F8" s="24"/>
      <c r="G8" s="24"/>
      <c r="H8" s="24"/>
      <c r="I8" s="25"/>
      <c r="J8" s="24"/>
      <c r="L8" s="26" t="s">
        <v>156</v>
      </c>
      <c r="M8" s="28" t="str">
        <f aca="false">IF($U$4=0,"",$U$62)</f>
        <v/>
      </c>
      <c r="N8" s="29" t="s">
        <v>157</v>
      </c>
      <c r="T8" s="15" t="s">
        <v>158</v>
      </c>
      <c r="U8" s="15" t="n">
        <f aca="false">COUNTIF($AH$6:$AK$24,"&gt;=5")</f>
        <v>0</v>
      </c>
      <c r="V8" s="15" t="n">
        <f aca="false">COUNTIF($AM$6:$AP$24,"&gt;=5")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IF(BN8="","",IF(ISNUMBER($J$8),INT(((2*BN8+$J$8)/3*$U$16)+0.5+0.000000001),BN8*$U$16))</f>
        <v/>
      </c>
      <c r="BP8" s="15" t="n">
        <f aca="false">IF(BO8="",0,IF(BO8&gt;=5*$U$16-0.000000001,1,0))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IF(BT8="","",IF(ISNUMBER($J$8),INT(((2*BT8+$J$8)/3*$U$16)+0.5+0.000000001),BT8*$U$16))</f>
        <v>35</v>
      </c>
      <c r="BV8" s="15" t="n">
        <f aca="false">IF(BU8="",0,IF(BU8&gt;=5*$U$16-0.000000001,1,0))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IFERROR(LARGE($AH$6:$AK$24,7),0)</f>
        <v>0</v>
      </c>
      <c r="CA8" s="15" t="n">
        <f aca="false">CA7+BZ8</f>
        <v>0</v>
      </c>
      <c r="CB8" s="15" t="n">
        <f aca="false">IFERROR(LARGE($AM$6:$AP$24,7),0)</f>
        <v>0</v>
      </c>
      <c r="CC8" s="15" t="n">
        <f aca="false">CC7+CB8</f>
        <v>0</v>
      </c>
    </row>
    <row r="9" customFormat="false" ht="37.5" hidden="false" customHeight="true" outlineLevel="0" collapsed="false">
      <c r="B9" s="21" t="s">
        <v>318</v>
      </c>
      <c r="C9" s="22"/>
      <c r="D9" s="23" t="s">
        <v>148</v>
      </c>
      <c r="E9" s="24"/>
      <c r="F9" s="24"/>
      <c r="G9" s="24"/>
      <c r="H9" s="24"/>
      <c r="I9" s="25"/>
      <c r="J9" s="30" t="s">
        <v>160</v>
      </c>
      <c r="L9" s="31" t="s">
        <v>161</v>
      </c>
      <c r="M9" s="32" t="str">
        <f aca="false">IF($U$4=0,"",$U$68)</f>
        <v/>
      </c>
      <c r="N9" s="29" t="s">
        <v>162</v>
      </c>
      <c r="T9" s="15" t="s">
        <v>163</v>
      </c>
      <c r="U9" s="15" t="n">
        <f aca="false">BA6+BA7</f>
        <v>0</v>
      </c>
      <c r="V9" s="15" t="n">
        <f aca="false">BI6+BI7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IF(BN9="","",BN9*$U$16)</f>
        <v/>
      </c>
      <c r="BP9" s="15" t="n">
        <f aca="false">IF(BO9="",0,IF(BO9&gt;=5*$U$16-0.000000001,1,0))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IF(BT9="","",BT9*$U$16)</f>
        <v>35</v>
      </c>
      <c r="BV9" s="15" t="n">
        <f aca="false">IF(BU9="",0,IF(BU9&gt;=5*$U$16-0.000000001,1,0))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IFERROR(LARGE($AH$6:$AK$24,8),0)</f>
        <v>0</v>
      </c>
      <c r="CA9" s="15" t="n">
        <f aca="false">CA8+BZ9</f>
        <v>0</v>
      </c>
      <c r="CB9" s="15" t="n">
        <f aca="false">IFERROR(LARGE($AM$6:$AP$24,8),0)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6" t="s">
        <v>167</v>
      </c>
      <c r="C10" s="6" t="s">
        <v>112</v>
      </c>
      <c r="D10" s="34" t="s">
        <v>168</v>
      </c>
      <c r="E10" s="35" t="s">
        <v>113</v>
      </c>
      <c r="F10" s="35" t="s">
        <v>114</v>
      </c>
      <c r="G10" s="35" t="s">
        <v>115</v>
      </c>
      <c r="H10" s="35" t="s">
        <v>116</v>
      </c>
      <c r="I10" s="20"/>
      <c r="J10" s="20"/>
      <c r="L10" s="31" t="s">
        <v>165</v>
      </c>
      <c r="M10" s="33" t="str">
        <f aca="false">IF($U$4=0,"",IF($U$70=1,$U$71/10,"nicht bestanden"))</f>
        <v/>
      </c>
      <c r="N10" s="29"/>
      <c r="T10" s="15" t="s">
        <v>166</v>
      </c>
      <c r="U10" s="15" t="n">
        <f aca="false">BA8+BA9+SUM($AB$11:$AB$24)</f>
        <v>0</v>
      </c>
      <c r="V10" s="15" t="n">
        <f aca="false">BI8+BI9+SUM($AF$11:$AF$24)</f>
        <v>0</v>
      </c>
      <c r="X10" s="15" t="s">
        <v>171</v>
      </c>
      <c r="Y10" s="15" t="s">
        <v>172</v>
      </c>
      <c r="Z10" s="15" t="s">
        <v>173</v>
      </c>
      <c r="AA10" s="15" t="s">
        <v>174</v>
      </c>
      <c r="AB10" s="15" t="s">
        <v>127</v>
      </c>
      <c r="AC10" s="15" t="s">
        <v>128</v>
      </c>
      <c r="AD10" s="15" t="s">
        <v>175</v>
      </c>
      <c r="AE10" s="15" t="s">
        <v>176</v>
      </c>
      <c r="AF10" s="15" t="s">
        <v>135</v>
      </c>
      <c r="BZ10" s="15" t="n">
        <f aca="false">IFERROR(LARGE($AH$6:$AK$24,9),0)</f>
        <v>0</v>
      </c>
      <c r="CA10" s="15" t="n">
        <f aca="false">CA9+BZ10</f>
        <v>0</v>
      </c>
      <c r="CB10" s="15" t="n">
        <f aca="false">IFERROR(LARGE($AM$6:$AP$24,9),0)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36" t="s">
        <v>177</v>
      </c>
      <c r="C11" s="37"/>
      <c r="D11" s="38"/>
      <c r="E11" s="24"/>
      <c r="F11" s="24"/>
      <c r="G11" s="24"/>
      <c r="H11" s="24"/>
      <c r="I11" s="39"/>
      <c r="J11" s="39"/>
      <c r="L11" s="26" t="s">
        <v>169</v>
      </c>
      <c r="M11" s="28" t="str">
        <f aca="false">IF($U$4=0,"",IF($U$72="","–",$U$72))</f>
        <v/>
      </c>
      <c r="N11" s="29" t="str">
        <f aca="false">IF($U$4=0,"",IF($U$71="","Punkte bis 300",IF($U$72="","Bestnote erreicht","Punkte → "&amp;FIXED(($U$71-1)/10,1))))</f>
        <v/>
      </c>
      <c r="T11" s="15" t="s">
        <v>170</v>
      </c>
      <c r="U11" s="15" t="n">
        <f aca="false">AW8+AW9+AX8+AX9+SUM($Z$11:$Z$24)</f>
        <v>0</v>
      </c>
      <c r="V11" s="15" t="n">
        <f aca="false">BE8+BE9+BF8+BF9+SUM($AD$11:$AD$24)</f>
        <v>56</v>
      </c>
      <c r="X11" s="15" t="n">
        <f aca="false">IF(OR(LEN(TRIM(C11))&gt;0,COUNT(E11:H11)&gt;0),1,0)</f>
        <v>0</v>
      </c>
      <c r="Y11" s="15" t="n">
        <f aca="false">IF(LEN(TRIM(D11))&gt;0,1,0)</f>
        <v>0</v>
      </c>
      <c r="Z11" s="15" t="n">
        <f aca="false">Y11*SUM(E11:H11)</f>
        <v>0</v>
      </c>
      <c r="AA11" s="15" t="n">
        <f aca="false">Y11*COUNT(E11:H11)</f>
        <v>0</v>
      </c>
      <c r="AB11" s="15" t="n">
        <f aca="false">Y11*COUNTIF(E11:H11,"&lt;5")</f>
        <v>0</v>
      </c>
      <c r="AC11" s="15" t="n">
        <f aca="false">Y11*COUNTIF(E11:H11,0)</f>
        <v>0</v>
      </c>
      <c r="AD11" s="15" t="n">
        <f aca="false">Y11*(SUM(E11:H11)+X11*$U$2*(4-COUNT(E11:H11)))</f>
        <v>0</v>
      </c>
      <c r="AE11" s="15" t="n">
        <f aca="false">Y11*(COUNT(E11:H11)+X11*(4-COUNT(E11:H11)))</f>
        <v>0</v>
      </c>
      <c r="AF11" s="15" t="n">
        <f aca="false">Y11*(COUNTIF(E11:H11,"&lt;5")+X11*IF($U$2&lt;5,1,0)*(4-COUNT(E11:H11)))</f>
        <v>0</v>
      </c>
      <c r="AH11" s="15" t="str">
        <f aca="false">IF(Y11=1,"",IF(ISNUMBER(E11),IF(E11=0,"",E11),""))</f>
        <v/>
      </c>
      <c r="AI11" s="15" t="str">
        <f aca="false">IF(Y11=1,"",IF(ISNUMBER(F11),IF(F11=0,"",F11),""))</f>
        <v/>
      </c>
      <c r="AJ11" s="15" t="str">
        <f aca="false">IF(Y11=1,"",IF(ISNUMBER(G11),IF(G11=0,"",G11),""))</f>
        <v/>
      </c>
      <c r="AK11" s="15" t="str">
        <f aca="false">IF(Y11=1,"",IF(ISNUMBER(H11),IF(H11=0,"",H11),""))</f>
        <v/>
      </c>
      <c r="AM11" s="15" t="str">
        <f aca="false">IF(Y11=1,"",IF(ISNUMBER(E11),IF(E11=0,"",E11),IF(X11=1,$U$2,"")))</f>
        <v/>
      </c>
      <c r="AN11" s="15" t="str">
        <f aca="false">IF(Y11=1,"",IF(ISNUMBER(F11),IF(F11=0,"",F11),IF(X11=1,$U$2,"")))</f>
        <v/>
      </c>
      <c r="AO11" s="15" t="str">
        <f aca="false">IF(Y11=1,"",IF(ISNUMBER(G11),IF(G11=0,"",G11),IF(X11=1,$U$2,"")))</f>
        <v/>
      </c>
      <c r="AP11" s="15" t="str">
        <f aca="false">IF(Y11=1,"",IF(ISNUMBER(H11),IF(H11=0,"",H11),IF(X11=1,$U$2,"")))</f>
        <v/>
      </c>
      <c r="AR11" s="15" t="n">
        <f aca="false">IF(Y11=1,IF(ISNUMBER(E11),1,0),IF(AH11="",0,IF(IF($U$38=1,COUNTIF($AH$6:$AK$24,"&gt;"&amp;AH11),COUNTIF($AM$6:$AP$24,"&gt;"&amp;AH11))+COUNTIF($AH$6:$AK$10,AH11)+1&lt;=$U$48,1,0)))</f>
        <v>0</v>
      </c>
      <c r="AS11" s="15" t="n">
        <f aca="false">IF(Y11=1,IF(ISNUMBER(F11),1,0),IF(AI11="",0,IF(IF($U$38=1,COUNTIF($AH$6:$AK$24,"&gt;"&amp;AI11),COUNTIF($AM$6:$AP$24,"&gt;"&amp;AI11))+COUNTIF($AH$6:$AK$10,AI11)+COUNTIF($AH11:AH11,AI11)+1&lt;=$U$48,1,0)))</f>
        <v>0</v>
      </c>
      <c r="AT11" s="15" t="n">
        <f aca="false">IF(Y11=1,IF(ISNUMBER(G11),1,0),IF(AJ11="",0,IF(IF($U$38=1,COUNTIF($AH$6:$AK$24,"&gt;"&amp;AJ11),COUNTIF($AM$6:$AP$24,"&gt;"&amp;AJ11))+COUNTIF($AH$6:$AK$10,AJ11)+COUNTIF($AH11:AI11,AJ11)+1&lt;=$U$48,1,0)))</f>
        <v>0</v>
      </c>
      <c r="AU11" s="15" t="n">
        <f aca="false">IF(Y11=1,IF(ISNUMBER(H11),1,0),IF(AK11="",0,IF(IF($U$38=1,COUNTIF($AH$6:$AK$24,"&gt;"&amp;AK11),COUNTIF($AM$6:$AP$24,"&gt;"&amp;AK11))+COUNTIF($AH$6:$AK$10,AK11)+COUNTIF($AH11:AJ11,AK11)+1&lt;=$U$48,1,0)))</f>
        <v>0</v>
      </c>
      <c r="BZ11" s="15" t="n">
        <f aca="false">IFERROR(LARGE($AH$6:$AK$24,10),0)</f>
        <v>0</v>
      </c>
      <c r="CA11" s="15" t="n">
        <f aca="false">CA10+BZ11</f>
        <v>0</v>
      </c>
      <c r="CB11" s="15" t="n">
        <f aca="false">IFERROR(LARGE($AM$6:$AP$24,10),0)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6" t="s">
        <v>180</v>
      </c>
      <c r="C12" s="37"/>
      <c r="D12" s="38"/>
      <c r="E12" s="24"/>
      <c r="F12" s="24"/>
      <c r="G12" s="24"/>
      <c r="H12" s="24"/>
      <c r="I12" s="39"/>
      <c r="J12" s="39"/>
      <c r="L12" s="26" t="s">
        <v>178</v>
      </c>
      <c r="M12" s="28" t="str">
        <f aca="false">IF(OR($U$4=0,$U$73=""),"",$U$73)</f>
        <v/>
      </c>
      <c r="N12" s="29" t="str">
        <f aca="false">IF(OR($U$4=0,$U$73=""),"","Punkte Luft")</f>
        <v/>
      </c>
      <c r="T12" s="15" t="s">
        <v>179</v>
      </c>
      <c r="U12" s="15" t="n">
        <f aca="false">BB6+BB7+BB8+BB9+SUM($AC$11:$AC$24)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IF(Y12=1,IF(ISNUMBER(E12),1,0),IF(AH12="",0,IF(IF($U$38=1,COUNTIF($AH$6:$AK$24,"&gt;"&amp;AH12),COUNTIF($AM$6:$AP$24,"&gt;"&amp;AH12))+COUNTIF($AH$6:$AK$11,AH12)+1&lt;=$U$48,1,0)))</f>
        <v>0</v>
      </c>
      <c r="AS12" s="15" t="n">
        <f aca="false">IF(Y12=1,IF(ISNUMBER(F12),1,0),IF(AI12="",0,IF(IF($U$38=1,COUNTIF($AH$6:$AK$24,"&gt;"&amp;AI12),COUNTIF($AM$6:$AP$24,"&gt;"&amp;AI12))+COUNTIF($AH$6:$AK$11,AI12)+COUNTIF($AH12:AH12,AI12)+1&lt;=$U$48,1,0)))</f>
        <v>0</v>
      </c>
      <c r="AT12" s="15" t="n">
        <f aca="false">IF(Y12=1,IF(ISNUMBER(G12),1,0),IF(AJ12="",0,IF(IF($U$38=1,COUNTIF($AH$6:$AK$24,"&gt;"&amp;AJ12),COUNTIF($AM$6:$AP$24,"&gt;"&amp;AJ12))+COUNTIF($AH$6:$AK$11,AJ12)+COUNTIF($AH12:AI12,AJ12)+1&lt;=$U$48,1,0)))</f>
        <v>0</v>
      </c>
      <c r="AU12" s="15" t="n">
        <f aca="false">IF(Y12=1,IF(ISNUMBER(H12),1,0),IF(AK12="",0,IF(IF($U$38=1,COUNTIF($AH$6:$AK$24,"&gt;"&amp;AK12),COUNTIF($AM$6:$AP$24,"&gt;"&amp;AK12))+COUNTIF($AH$6:$AK$11,AK12)+COUNTIF($AH12:AJ12,AK12)+1&lt;=$U$48,1,0)))</f>
        <v>0</v>
      </c>
      <c r="BZ12" s="15" t="n">
        <f aca="false">IFERROR(LARGE($AH$6:$AK$24,11),0)</f>
        <v>0</v>
      </c>
      <c r="CA12" s="15" t="n">
        <f aca="false">CA11+BZ12</f>
        <v>0</v>
      </c>
      <c r="CB12" s="15" t="n">
        <f aca="false">IFERROR(LARGE($AM$6:$AP$24,11),0)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183</v>
      </c>
      <c r="C13" s="37"/>
      <c r="D13" s="38"/>
      <c r="E13" s="24"/>
      <c r="F13" s="24"/>
      <c r="G13" s="24"/>
      <c r="H13" s="24"/>
      <c r="I13" s="39"/>
      <c r="J13" s="39"/>
      <c r="L13" s="26" t="s">
        <v>181</v>
      </c>
      <c r="M13" s="28" t="str">
        <f aca="false">IF($U$4=0,"",$U$40)</f>
        <v/>
      </c>
      <c r="N13" s="29" t="str">
        <f aca="false">IF($U$4=0,"","Formel: "&amp;FIXED($U$47,1)&amp;" / "&amp;$U$46&amp;" × 40")</f>
        <v/>
      </c>
      <c r="T13" s="15" t="s">
        <v>182</v>
      </c>
      <c r="U13" s="15" t="n">
        <f aca="false">MATCH(MAX($DH$3:$DH$3),$DH$3:$DH$3,0)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IF(Y13=1,IF(ISNUMBER(E13),1,0),IF(AH13="",0,IF(IF($U$38=1,COUNTIF($AH$6:$AK$24,"&gt;"&amp;AH13),COUNTIF($AM$6:$AP$24,"&gt;"&amp;AH13))+COUNTIF($AH$6:$AK$12,AH13)+1&lt;=$U$48,1,0)))</f>
        <v>0</v>
      </c>
      <c r="AS13" s="15" t="n">
        <f aca="false">IF(Y13=1,IF(ISNUMBER(F13),1,0),IF(AI13="",0,IF(IF($U$38=1,COUNTIF($AH$6:$AK$24,"&gt;"&amp;AI13),COUNTIF($AM$6:$AP$24,"&gt;"&amp;AI13))+COUNTIF($AH$6:$AK$12,AI13)+COUNTIF($AH13:AH13,AI13)+1&lt;=$U$48,1,0)))</f>
        <v>0</v>
      </c>
      <c r="AT13" s="15" t="n">
        <f aca="false">IF(Y13=1,IF(ISNUMBER(G13),1,0),IF(AJ13="",0,IF(IF($U$38=1,COUNTIF($AH$6:$AK$24,"&gt;"&amp;AJ13),COUNTIF($AM$6:$AP$24,"&gt;"&amp;AJ13))+COUNTIF($AH$6:$AK$12,AJ13)+COUNTIF($AH13:AI13,AJ13)+1&lt;=$U$48,1,0)))</f>
        <v>0</v>
      </c>
      <c r="AU13" s="15" t="n">
        <f aca="false">IF(Y13=1,IF(ISNUMBER(H13),1,0),IF(AK13="",0,IF(IF($U$38=1,COUNTIF($AH$6:$AK$24,"&gt;"&amp;AK13),COUNTIF($AM$6:$AP$24,"&gt;"&amp;AK13))+COUNTIF($AH$6:$AK$12,AK13)+COUNTIF($AH13:AJ13,AK13)+1&lt;=$U$48,1,0)))</f>
        <v>0</v>
      </c>
      <c r="BZ13" s="15" t="n">
        <f aca="false">IFERROR(LARGE($AH$6:$AK$24,12),0)</f>
        <v>0</v>
      </c>
      <c r="CA13" s="15" t="n">
        <f aca="false">CA12+BZ13</f>
        <v>0</v>
      </c>
      <c r="CB13" s="15" t="n">
        <f aca="false">IFERROR(LARGE($AM$6:$AP$24,12),0)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186</v>
      </c>
      <c r="C14" s="37"/>
      <c r="D14" s="38"/>
      <c r="E14" s="24"/>
      <c r="F14" s="24"/>
      <c r="G14" s="24"/>
      <c r="H14" s="24"/>
      <c r="I14" s="39"/>
      <c r="J14" s="39"/>
      <c r="L14" s="26" t="s">
        <v>184</v>
      </c>
      <c r="M14" s="28" t="str">
        <f aca="false">IF($U$4=0,"",$U$41)</f>
        <v/>
      </c>
      <c r="N14" s="29" t="s">
        <v>320</v>
      </c>
      <c r="T14" s="15" t="s">
        <v>185</v>
      </c>
      <c r="U14" s="15" t="n">
        <f aca="false">MATCH(MAX($DH$23:$DH$23),$DH$23:$DH$23,0)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IF(Y14=1,IF(ISNUMBER(E14),1,0),IF(AH14="",0,IF(IF($U$38=1,COUNTIF($AH$6:$AK$24,"&gt;"&amp;AH14),COUNTIF($AM$6:$AP$24,"&gt;"&amp;AH14))+COUNTIF($AH$6:$AK$13,AH14)+1&lt;=$U$48,1,0)))</f>
        <v>0</v>
      </c>
      <c r="AS14" s="15" t="n">
        <f aca="false">IF(Y14=1,IF(ISNUMBER(F14),1,0),IF(AI14="",0,IF(IF($U$38=1,COUNTIF($AH$6:$AK$24,"&gt;"&amp;AI14),COUNTIF($AM$6:$AP$24,"&gt;"&amp;AI14))+COUNTIF($AH$6:$AK$13,AI14)+COUNTIF($AH14:AH14,AI14)+1&lt;=$U$48,1,0)))</f>
        <v>0</v>
      </c>
      <c r="AT14" s="15" t="n">
        <f aca="false">IF(Y14=1,IF(ISNUMBER(G14),1,0),IF(AJ14="",0,IF(IF($U$38=1,COUNTIF($AH$6:$AK$24,"&gt;"&amp;AJ14),COUNTIF($AM$6:$AP$24,"&gt;"&amp;AJ14))+COUNTIF($AH$6:$AK$13,AJ14)+COUNTIF($AH14:AI14,AJ14)+1&lt;=$U$48,1,0)))</f>
        <v>0</v>
      </c>
      <c r="AU14" s="15" t="n">
        <f aca="false">IF(Y14=1,IF(ISNUMBER(H14),1,0),IF(AK14="",0,IF(IF($U$38=1,COUNTIF($AH$6:$AK$24,"&gt;"&amp;AK14),COUNTIF($AM$6:$AP$24,"&gt;"&amp;AK14))+COUNTIF($AH$6:$AK$13,AK14)+COUNTIF($AH14:AJ14,AK14)+1&lt;=$U$48,1,0)))</f>
        <v>0</v>
      </c>
      <c r="BZ14" s="15" t="n">
        <f aca="false">IFERROR(LARGE($AH$6:$AK$24,13),0)</f>
        <v>0</v>
      </c>
      <c r="CA14" s="15" t="n">
        <f aca="false">CA13+BZ14</f>
        <v>0</v>
      </c>
      <c r="CB14" s="15" t="n">
        <f aca="false">IFERROR(LARGE($AM$6:$AP$24,13),0)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190</v>
      </c>
      <c r="C15" s="37"/>
      <c r="D15" s="38"/>
      <c r="E15" s="24"/>
      <c r="F15" s="24"/>
      <c r="G15" s="24"/>
      <c r="H15" s="24"/>
      <c r="I15" s="39"/>
      <c r="J15" s="39"/>
      <c r="L15" s="26" t="s">
        <v>187</v>
      </c>
      <c r="M15" s="28" t="str">
        <f aca="false">IF($U$4=0,"","+"&amp;$U$16)</f>
        <v/>
      </c>
      <c r="N15" s="29" t="s">
        <v>188</v>
      </c>
      <c r="T15" s="15" t="s">
        <v>337</v>
      </c>
      <c r="U15" s="15" t="n">
        <f aca="false">IF(ISNUMBER($I$26),1,0)</f>
        <v>0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IF(Y15=1,IF(ISNUMBER(E15),1,0),IF(AH15="",0,IF(IF($U$38=1,COUNTIF($AH$6:$AK$24,"&gt;"&amp;AH15),COUNTIF($AM$6:$AP$24,"&gt;"&amp;AH15))+COUNTIF($AH$6:$AK$14,AH15)+1&lt;=$U$48,1,0)))</f>
        <v>0</v>
      </c>
      <c r="AS15" s="15" t="n">
        <f aca="false">IF(Y15=1,IF(ISNUMBER(F15),1,0),IF(AI15="",0,IF(IF($U$38=1,COUNTIF($AH$6:$AK$24,"&gt;"&amp;AI15),COUNTIF($AM$6:$AP$24,"&gt;"&amp;AI15))+COUNTIF($AH$6:$AK$14,AI15)+COUNTIF($AH15:AH15,AI15)+1&lt;=$U$48,1,0)))</f>
        <v>0</v>
      </c>
      <c r="AT15" s="15" t="n">
        <f aca="false">IF(Y15=1,IF(ISNUMBER(G15),1,0),IF(AJ15="",0,IF(IF($U$38=1,COUNTIF($AH$6:$AK$24,"&gt;"&amp;AJ15),COUNTIF($AM$6:$AP$24,"&gt;"&amp;AJ15))+COUNTIF($AH$6:$AK$14,AJ15)+COUNTIF($AH15:AI15,AJ15)+1&lt;=$U$48,1,0)))</f>
        <v>0</v>
      </c>
      <c r="AU15" s="15" t="n">
        <f aca="false">IF(Y15=1,IF(ISNUMBER(H15),1,0),IF(AK15="",0,IF(IF($U$38=1,COUNTIF($AH$6:$AK$24,"&gt;"&amp;AK15),COUNTIF($AM$6:$AP$24,"&gt;"&amp;AK15))+COUNTIF($AH$6:$AK$14,AK15)+COUNTIF($AH15:AJ15,AK15)+1&lt;=$U$48,1,0)))</f>
        <v>0</v>
      </c>
      <c r="BZ15" s="15" t="n">
        <f aca="false">IFERROR(LARGE($AH$6:$AK$24,14),0)</f>
        <v>0</v>
      </c>
      <c r="CA15" s="15" t="n">
        <f aca="false">CA14+BZ15</f>
        <v>0</v>
      </c>
      <c r="CB15" s="15" t="n">
        <f aca="false">IFERROR(LARGE($AM$6:$AP$24,14),0)</f>
        <v>0</v>
      </c>
      <c r="CC15" s="15" t="n">
        <f aca="false">CC14+CB15</f>
        <v>0</v>
      </c>
    </row>
    <row r="16" customFormat="false" ht="15" hidden="false" customHeight="false" outlineLevel="0" collapsed="false">
      <c r="B16" s="36" t="s">
        <v>194</v>
      </c>
      <c r="C16" s="37"/>
      <c r="D16" s="38"/>
      <c r="E16" s="24"/>
      <c r="F16" s="24"/>
      <c r="G16" s="24"/>
      <c r="H16" s="24"/>
      <c r="I16" s="39"/>
      <c r="J16" s="39"/>
      <c r="L16" s="26" t="s">
        <v>191</v>
      </c>
      <c r="M16" s="28" t="str">
        <f aca="false">IF($U$4=0,"","≈ +"&amp;FIXED(40/$U$46,2))</f>
        <v/>
      </c>
      <c r="N16" s="29" t="s">
        <v>192</v>
      </c>
      <c r="T16" s="15" t="s">
        <v>189</v>
      </c>
      <c r="U16" s="15" t="n">
        <f aca="false">IF($U$15=1,4,5)</f>
        <v>5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IF(Y16=1,IF(ISNUMBER(E16),1,0),IF(AH16="",0,IF(IF($U$38=1,COUNTIF($AH$6:$AK$24,"&gt;"&amp;AH16),COUNTIF($AM$6:$AP$24,"&gt;"&amp;AH16))+COUNTIF($AH$6:$AK$15,AH16)+1&lt;=$U$48,1,0)))</f>
        <v>0</v>
      </c>
      <c r="AS16" s="15" t="n">
        <f aca="false">IF(Y16=1,IF(ISNUMBER(F16),1,0),IF(AI16="",0,IF(IF($U$38=1,COUNTIF($AH$6:$AK$24,"&gt;"&amp;AI16),COUNTIF($AM$6:$AP$24,"&gt;"&amp;AI16))+COUNTIF($AH$6:$AK$15,AI16)+COUNTIF($AH16:AH16,AI16)+1&lt;=$U$48,1,0)))</f>
        <v>0</v>
      </c>
      <c r="AT16" s="15" t="n">
        <f aca="false">IF(Y16=1,IF(ISNUMBER(G16),1,0),IF(AJ16="",0,IF(IF($U$38=1,COUNTIF($AH$6:$AK$24,"&gt;"&amp;AJ16),COUNTIF($AM$6:$AP$24,"&gt;"&amp;AJ16))+COUNTIF($AH$6:$AK$15,AJ16)+COUNTIF($AH16:AI16,AJ16)+1&lt;=$U$48,1,0)))</f>
        <v>0</v>
      </c>
      <c r="AU16" s="15" t="n">
        <f aca="false">IF(Y16=1,IF(ISNUMBER(H16),1,0),IF(AK16="",0,IF(IF($U$38=1,COUNTIF($AH$6:$AK$24,"&gt;"&amp;AK16),COUNTIF($AM$6:$AP$24,"&gt;"&amp;AK16))+COUNTIF($AH$6:$AK$15,AK16)+COUNTIF($AH16:AJ16,AK16)+1&lt;=$U$48,1,0)))</f>
        <v>0</v>
      </c>
      <c r="BZ16" s="15" t="n">
        <f aca="false">IFERROR(LARGE($AH$6:$AK$24,15),0)</f>
        <v>0</v>
      </c>
      <c r="CA16" s="15" t="n">
        <f aca="false">CA15+BZ16</f>
        <v>0</v>
      </c>
      <c r="CB16" s="15" t="n">
        <f aca="false">IFERROR(LARGE($AM$6:$AP$24,15),0)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196</v>
      </c>
      <c r="C17" s="37"/>
      <c r="D17" s="38"/>
      <c r="E17" s="24"/>
      <c r="F17" s="24"/>
      <c r="G17" s="24"/>
      <c r="H17" s="24"/>
      <c r="I17" s="39"/>
      <c r="J17" s="39"/>
      <c r="T17" s="15" t="s">
        <v>193</v>
      </c>
      <c r="U17" s="15" t="n">
        <f aca="false">MIN(300,INT((SUM(BO6,BO7,BO8,BO9,BO26))+0.5+0.000000001))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IF(Y17=1,IF(ISNUMBER(E17),1,0),IF(AH17="",0,IF(IF($U$38=1,COUNTIF($AH$6:$AK$24,"&gt;"&amp;AH17),COUNTIF($AM$6:$AP$24,"&gt;"&amp;AH17))+COUNTIF($AH$6:$AK$16,AH17)+1&lt;=$U$48,1,0)))</f>
        <v>0</v>
      </c>
      <c r="AS17" s="15" t="n">
        <f aca="false">IF(Y17=1,IF(ISNUMBER(F17),1,0),IF(AI17="",0,IF(IF($U$38=1,COUNTIF($AH$6:$AK$24,"&gt;"&amp;AI17),COUNTIF($AM$6:$AP$24,"&gt;"&amp;AI17))+COUNTIF($AH$6:$AK$16,AI17)+COUNTIF($AH17:AH17,AI17)+1&lt;=$U$48,1,0)))</f>
        <v>0</v>
      </c>
      <c r="AT17" s="15" t="n">
        <f aca="false">IF(Y17=1,IF(ISNUMBER(G17),1,0),IF(AJ17="",0,IF(IF($U$38=1,COUNTIF($AH$6:$AK$24,"&gt;"&amp;AJ17),COUNTIF($AM$6:$AP$24,"&gt;"&amp;AJ17))+COUNTIF($AH$6:$AK$16,AJ17)+COUNTIF($AH17:AI17,AJ17)+1&lt;=$U$48,1,0)))</f>
        <v>0</v>
      </c>
      <c r="AU17" s="15" t="n">
        <f aca="false">IF(Y17=1,IF(ISNUMBER(H17),1,0),IF(AK17="",0,IF(IF($U$38=1,COUNTIF($AH$6:$AK$24,"&gt;"&amp;AK17),COUNTIF($AM$6:$AP$24,"&gt;"&amp;AK17))+COUNTIF($AH$6:$AK$16,AK17)+COUNTIF($AH17:AJ17,AK17)+1&lt;=$U$48,1,0)))</f>
        <v>0</v>
      </c>
      <c r="BZ17" s="15" t="n">
        <f aca="false">IFERROR(LARGE($AH$6:$AK$24,16),0)</f>
        <v>0</v>
      </c>
      <c r="CA17" s="15" t="n">
        <f aca="false">CA16+BZ17</f>
        <v>0</v>
      </c>
      <c r="CB17" s="15" t="n">
        <f aca="false">IFERROR(LARGE($AM$6:$AP$24,16),0)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200</v>
      </c>
      <c r="C18" s="37"/>
      <c r="D18" s="38"/>
      <c r="E18" s="24"/>
      <c r="F18" s="24"/>
      <c r="G18" s="24"/>
      <c r="H18" s="24"/>
      <c r="I18" s="39"/>
      <c r="J18" s="39"/>
      <c r="L18" s="40" t="s">
        <v>197</v>
      </c>
      <c r="M18" s="41" t="s">
        <v>149</v>
      </c>
      <c r="N18" s="6" t="s">
        <v>198</v>
      </c>
      <c r="T18" s="15" t="s">
        <v>195</v>
      </c>
      <c r="U18" s="15" t="n">
        <f aca="false">SUM(BP6,BP7,BP8,BP9,BP26)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IF(Y18=1,IF(ISNUMBER(E18),1,0),IF(AH18="",0,IF(IF($U$38=1,COUNTIF($AH$6:$AK$24,"&gt;"&amp;AH18),COUNTIF($AM$6:$AP$24,"&gt;"&amp;AH18))+COUNTIF($AH$6:$AK$17,AH18)+1&lt;=$U$48,1,0)))</f>
        <v>0</v>
      </c>
      <c r="AS18" s="15" t="n">
        <f aca="false">IF(Y18=1,IF(ISNUMBER(F18),1,0),IF(AI18="",0,IF(IF($U$38=1,COUNTIF($AH$6:$AK$24,"&gt;"&amp;AI18),COUNTIF($AM$6:$AP$24,"&gt;"&amp;AI18))+COUNTIF($AH$6:$AK$17,AI18)+COUNTIF($AH18:AH18,AI18)+1&lt;=$U$48,1,0)))</f>
        <v>0</v>
      </c>
      <c r="AT18" s="15" t="n">
        <f aca="false">IF(Y18=1,IF(ISNUMBER(G18),1,0),IF(AJ18="",0,IF(IF($U$38=1,COUNTIF($AH$6:$AK$24,"&gt;"&amp;AJ18),COUNTIF($AM$6:$AP$24,"&gt;"&amp;AJ18))+COUNTIF($AH$6:$AK$17,AJ18)+COUNTIF($AH18:AI18,AJ18)+1&lt;=$U$48,1,0)))</f>
        <v>0</v>
      </c>
      <c r="AU18" s="15" t="n">
        <f aca="false">IF(Y18=1,IF(ISNUMBER(H18),1,0),IF(AK18="",0,IF(IF($U$38=1,COUNTIF($AH$6:$AK$24,"&gt;"&amp;AK18),COUNTIF($AM$6:$AP$24,"&gt;"&amp;AK18))+COUNTIF($AH$6:$AK$17,AK18)+COUNTIF($AH18:AJ18,AK18)+1&lt;=$U$48,1,0)))</f>
        <v>0</v>
      </c>
      <c r="BZ18" s="15" t="n">
        <f aca="false">IFERROR(LARGE($AH$6:$AK$24,17),0)</f>
        <v>0</v>
      </c>
      <c r="CA18" s="15" t="n">
        <f aca="false">CA17+BZ18</f>
        <v>0</v>
      </c>
      <c r="CB18" s="15" t="n">
        <f aca="false">IFERROR(LARGE($AM$6:$AP$24,17),0)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203</v>
      </c>
      <c r="C19" s="37"/>
      <c r="D19" s="38"/>
      <c r="E19" s="24"/>
      <c r="F19" s="24"/>
      <c r="G19" s="24"/>
      <c r="H19" s="24"/>
      <c r="I19" s="39"/>
      <c r="J19" s="39"/>
      <c r="L19" s="42" t="s">
        <v>201</v>
      </c>
      <c r="M19" s="43" t="str">
        <f aca="false">IF($U$4=0,"",IF($U$50=1,"✓ erfüllt","✗ nicht erfüllt"))</f>
        <v/>
      </c>
      <c r="N19" s="36" t="str">
        <f aca="false">IF($U$4=0,"",$U$39&amp;" Punkte")</f>
        <v/>
      </c>
      <c r="T19" s="15" t="s">
        <v>199</v>
      </c>
      <c r="U19" s="15" t="n">
        <f aca="false">0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IF(Y19=1,IF(ISNUMBER(E19),1,0),IF(AH19="",0,IF(IF($U$38=1,COUNTIF($AH$6:$AK$24,"&gt;"&amp;AH19),COUNTIF($AM$6:$AP$24,"&gt;"&amp;AH19))+COUNTIF($AH$6:$AK$18,AH19)+1&lt;=$U$48,1,0)))</f>
        <v>0</v>
      </c>
      <c r="AS19" s="15" t="n">
        <f aca="false">IF(Y19=1,IF(ISNUMBER(F19),1,0),IF(AI19="",0,IF(IF($U$38=1,COUNTIF($AH$6:$AK$24,"&gt;"&amp;AI19),COUNTIF($AM$6:$AP$24,"&gt;"&amp;AI19))+COUNTIF($AH$6:$AK$18,AI19)+COUNTIF($AH19:AH19,AI19)+1&lt;=$U$48,1,0)))</f>
        <v>0</v>
      </c>
      <c r="AT19" s="15" t="n">
        <f aca="false">IF(Y19=1,IF(ISNUMBER(G19),1,0),IF(AJ19="",0,IF(IF($U$38=1,COUNTIF($AH$6:$AK$24,"&gt;"&amp;AJ19),COUNTIF($AM$6:$AP$24,"&gt;"&amp;AJ19))+COUNTIF($AH$6:$AK$18,AJ19)+COUNTIF($AH19:AI19,AJ19)+1&lt;=$U$48,1,0)))</f>
        <v>0</v>
      </c>
      <c r="AU19" s="15" t="n">
        <f aca="false">IF(Y19=1,IF(ISNUMBER(H19),1,0),IF(AK19="",0,IF(IF($U$38=1,COUNTIF($AH$6:$AK$24,"&gt;"&amp;AK19),COUNTIF($AM$6:$AP$24,"&gt;"&amp;AK19))+COUNTIF($AH$6:$AK$18,AK19)+COUNTIF($AH19:AJ19,AK19)+1&lt;=$U$48,1,0)))</f>
        <v>0</v>
      </c>
      <c r="BZ19" s="15" t="n">
        <f aca="false">IFERROR(LARGE($AH$6:$AK$24,18),0)</f>
        <v>0</v>
      </c>
      <c r="CA19" s="15" t="n">
        <f aca="false">CA18+BZ19</f>
        <v>0</v>
      </c>
      <c r="CB19" s="15" t="n">
        <f aca="false">IFERROR(LARGE($AM$6:$AP$24,18),0)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205</v>
      </c>
      <c r="C20" s="37"/>
      <c r="D20" s="38"/>
      <c r="E20" s="24"/>
      <c r="F20" s="24"/>
      <c r="G20" s="24"/>
      <c r="H20" s="24"/>
      <c r="I20" s="39"/>
      <c r="J20" s="39"/>
      <c r="L20" s="42" t="s">
        <v>206</v>
      </c>
      <c r="M20" s="43" t="str">
        <f aca="false">IF($U$4=0,"",IF($U$52=1,"✓ erfüllt","✗ nicht erfüllt"))</f>
        <v/>
      </c>
      <c r="N20" s="36" t="str">
        <f aca="false">IF($U$4=0,"",$U$61&amp;" Unterkurse")</f>
        <v/>
      </c>
      <c r="T20" s="15" t="s">
        <v>202</v>
      </c>
      <c r="U20" s="15" t="n">
        <f aca="false">BQ6+BQ7+BQ8+BQ9+BQ26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IF(Y20=1,IF(ISNUMBER(E20),1,0),IF(AH20="",0,IF(IF($U$38=1,COUNTIF($AH$6:$AK$24,"&gt;"&amp;AH20),COUNTIF($AM$6:$AP$24,"&gt;"&amp;AH20))+COUNTIF($AH$6:$AK$19,AH20)+1&lt;=$U$48,1,0)))</f>
        <v>0</v>
      </c>
      <c r="AS20" s="15" t="n">
        <f aca="false">IF(Y20=1,IF(ISNUMBER(F20),1,0),IF(AI20="",0,IF(IF($U$38=1,COUNTIF($AH$6:$AK$24,"&gt;"&amp;AI20),COUNTIF($AM$6:$AP$24,"&gt;"&amp;AI20))+COUNTIF($AH$6:$AK$19,AI20)+COUNTIF($AH20:AH20,AI20)+1&lt;=$U$48,1,0)))</f>
        <v>0</v>
      </c>
      <c r="AT20" s="15" t="n">
        <f aca="false">IF(Y20=1,IF(ISNUMBER(G20),1,0),IF(AJ20="",0,IF(IF($U$38=1,COUNTIF($AH$6:$AK$24,"&gt;"&amp;AJ20),COUNTIF($AM$6:$AP$24,"&gt;"&amp;AJ20))+COUNTIF($AH$6:$AK$19,AJ20)+COUNTIF($AH20:AI20,AJ20)+1&lt;=$U$48,1,0)))</f>
        <v>0</v>
      </c>
      <c r="AU20" s="15" t="n">
        <f aca="false">IF(Y20=1,IF(ISNUMBER(H20),1,0),IF(AK20="",0,IF(IF($U$38=1,COUNTIF($AH$6:$AK$24,"&gt;"&amp;AK20),COUNTIF($AM$6:$AP$24,"&gt;"&amp;AK20))+COUNTIF($AH$6:$AK$19,AK20)+COUNTIF($AH20:AJ20,AK20)+1&lt;=$U$48,1,0)))</f>
        <v>0</v>
      </c>
      <c r="BZ20" s="15" t="n">
        <f aca="false">IFERROR(LARGE($AH$6:$AK$24,19),0)</f>
        <v>0</v>
      </c>
      <c r="CA20" s="15" t="n">
        <f aca="false">CA19+BZ20</f>
        <v>0</v>
      </c>
      <c r="CB20" s="15" t="n">
        <f aca="false">IFERROR(LARGE($AM$6:$AP$24,19),0)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208</v>
      </c>
      <c r="C21" s="37"/>
      <c r="D21" s="38"/>
      <c r="E21" s="24"/>
      <c r="F21" s="24"/>
      <c r="G21" s="24"/>
      <c r="H21" s="24"/>
      <c r="I21" s="39"/>
      <c r="J21" s="39"/>
      <c r="L21" s="42" t="s">
        <v>322</v>
      </c>
      <c r="M21" s="43" t="str">
        <f aca="false">IF($U$4=0,"",IF($U$53=1,"✓ erfüllt","✗ nicht erfüllt"))</f>
        <v/>
      </c>
      <c r="N21" s="36" t="str">
        <f aca="false">IF($U$4=0,"",$U$43&amp;" Unterkurse")</f>
        <v/>
      </c>
      <c r="T21" s="15" t="s">
        <v>204</v>
      </c>
      <c r="U21" s="15" t="n">
        <f aca="false">BR6+BR7+BR8+BR9+BR26</f>
        <v>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IF(Y21=1,IF(ISNUMBER(E21),1,0),IF(AH21="",0,IF(IF($U$38=1,COUNTIF($AH$6:$AK$24,"&gt;"&amp;AH21),COUNTIF($AM$6:$AP$24,"&gt;"&amp;AH21))+COUNTIF($AH$6:$AK$20,AH21)+1&lt;=$U$48,1,0)))</f>
        <v>0</v>
      </c>
      <c r="AS21" s="15" t="n">
        <f aca="false">IF(Y21=1,IF(ISNUMBER(F21),1,0),IF(AI21="",0,IF(IF($U$38=1,COUNTIF($AH$6:$AK$24,"&gt;"&amp;AI21),COUNTIF($AM$6:$AP$24,"&gt;"&amp;AI21))+COUNTIF($AH$6:$AK$20,AI21)+COUNTIF($AH21:AH21,AI21)+1&lt;=$U$48,1,0)))</f>
        <v>0</v>
      </c>
      <c r="AT21" s="15" t="n">
        <f aca="false">IF(Y21=1,IF(ISNUMBER(G21),1,0),IF(AJ21="",0,IF(IF($U$38=1,COUNTIF($AH$6:$AK$24,"&gt;"&amp;AJ21),COUNTIF($AM$6:$AP$24,"&gt;"&amp;AJ21))+COUNTIF($AH$6:$AK$20,AJ21)+COUNTIF($AH21:AI21,AJ21)+1&lt;=$U$48,1,0)))</f>
        <v>0</v>
      </c>
      <c r="AU21" s="15" t="n">
        <f aca="false">IF(Y21=1,IF(ISNUMBER(H21),1,0),IF(AK21="",0,IF(IF($U$38=1,COUNTIF($AH$6:$AK$24,"&gt;"&amp;AK21),COUNTIF($AM$6:$AP$24,"&gt;"&amp;AK21))+COUNTIF($AH$6:$AK$20,AK21)+COUNTIF($AH21:AJ21,AK21)+1&lt;=$U$48,1,0)))</f>
        <v>0</v>
      </c>
      <c r="BZ21" s="15" t="n">
        <f aca="false">IFERROR(LARGE($AH$6:$AK$24,20),0)</f>
        <v>0</v>
      </c>
      <c r="CA21" s="15" t="n">
        <f aca="false">CA20+BZ21</f>
        <v>0</v>
      </c>
      <c r="CB21" s="15" t="n">
        <f aca="false">IFERROR(LARGE($AM$6:$AP$24,20),0)</f>
        <v>0</v>
      </c>
      <c r="CC21" s="15" t="n">
        <f aca="false">CC20+CB21</f>
        <v>0</v>
      </c>
    </row>
    <row r="22" customFormat="false" ht="15" hidden="false" customHeight="false" outlineLevel="0" collapsed="false">
      <c r="B22" s="36" t="s">
        <v>211</v>
      </c>
      <c r="C22" s="37"/>
      <c r="D22" s="38"/>
      <c r="E22" s="24"/>
      <c r="F22" s="24"/>
      <c r="G22" s="24"/>
      <c r="H22" s="24"/>
      <c r="I22" s="39"/>
      <c r="J22" s="39"/>
      <c r="L22" s="42" t="s">
        <v>209</v>
      </c>
      <c r="M22" s="43" t="str">
        <f aca="false">IF($U$4=0,"",IF($U$56=1,"✓ erfüllt","✗ nicht erfüllt"))</f>
        <v/>
      </c>
      <c r="N22" s="36" t="str">
        <f aca="false">IF($U$4=0,"",$U$12&amp;" mit 0 Punkten")</f>
        <v/>
      </c>
      <c r="T22" s="15" t="s">
        <v>207</v>
      </c>
      <c r="U22" s="15" t="n">
        <f aca="false">MIN(300,INT((SUM(BU6,BU7,BU8,BU9,BU26))+0.5+0.000000001))</f>
        <v>140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IF(Y22=1,IF(ISNUMBER(E22),1,0),IF(AH22="",0,IF(IF($U$38=1,COUNTIF($AH$6:$AK$24,"&gt;"&amp;AH22),COUNTIF($AM$6:$AP$24,"&gt;"&amp;AH22))+COUNTIF($AH$6:$AK$21,AH22)+1&lt;=$U$48,1,0)))</f>
        <v>0</v>
      </c>
      <c r="AS22" s="15" t="n">
        <f aca="false">IF(Y22=1,IF(ISNUMBER(F22),1,0),IF(AI22="",0,IF(IF($U$38=1,COUNTIF($AH$6:$AK$24,"&gt;"&amp;AI22),COUNTIF($AM$6:$AP$24,"&gt;"&amp;AI22))+COUNTIF($AH$6:$AK$21,AI22)+COUNTIF($AH22:AH22,AI22)+1&lt;=$U$48,1,0)))</f>
        <v>0</v>
      </c>
      <c r="AT22" s="15" t="n">
        <f aca="false">IF(Y22=1,IF(ISNUMBER(G22),1,0),IF(AJ22="",0,IF(IF($U$38=1,COUNTIF($AH$6:$AK$24,"&gt;"&amp;AJ22),COUNTIF($AM$6:$AP$24,"&gt;"&amp;AJ22))+COUNTIF($AH$6:$AK$21,AJ22)+COUNTIF($AH22:AI22,AJ22)+1&lt;=$U$48,1,0)))</f>
        <v>0</v>
      </c>
      <c r="AU22" s="15" t="n">
        <f aca="false">IF(Y22=1,IF(ISNUMBER(H22),1,0),IF(AK22="",0,IF(IF($U$38=1,COUNTIF($AH$6:$AK$24,"&gt;"&amp;AK22),COUNTIF($AM$6:$AP$24,"&gt;"&amp;AK22))+COUNTIF($AH$6:$AK$21,AK22)+COUNTIF($AH22:AJ22,AK22)+1&lt;=$U$48,1,0)))</f>
        <v>0</v>
      </c>
      <c r="BZ22" s="15" t="n">
        <f aca="false">IFERROR(LARGE($AH$6:$AK$24,21),0)</f>
        <v>0</v>
      </c>
      <c r="CA22" s="15" t="n">
        <f aca="false">CA21+BZ22</f>
        <v>0</v>
      </c>
      <c r="CB22" s="15" t="n">
        <f aca="false">IFERROR(LARGE($AM$6:$AP$24,21),0)</f>
        <v>0</v>
      </c>
      <c r="CC22" s="15" t="n">
        <f aca="false">CC21+CB22</f>
        <v>0</v>
      </c>
      <c r="CE22" s="15" t="s">
        <v>79</v>
      </c>
      <c r="CF22" s="15" t="s">
        <v>80</v>
      </c>
      <c r="CG22" s="15" t="s">
        <v>81</v>
      </c>
      <c r="CH22" s="15" t="s">
        <v>82</v>
      </c>
      <c r="CI22" s="15" t="s">
        <v>83</v>
      </c>
      <c r="CJ22" s="15" t="s">
        <v>84</v>
      </c>
      <c r="CK22" s="15" t="s">
        <v>85</v>
      </c>
      <c r="CL22" s="15" t="s">
        <v>86</v>
      </c>
      <c r="CM22" s="15" t="s">
        <v>87</v>
      </c>
      <c r="CN22" s="15" t="s">
        <v>88</v>
      </c>
      <c r="CO22" s="15" t="s">
        <v>89</v>
      </c>
      <c r="CP22" s="15" t="s">
        <v>90</v>
      </c>
      <c r="CQ22" s="15" t="s">
        <v>91</v>
      </c>
      <c r="CR22" s="15" t="s">
        <v>92</v>
      </c>
      <c r="CS22" s="15" t="s">
        <v>93</v>
      </c>
      <c r="CT22" s="15" t="s">
        <v>94</v>
      </c>
      <c r="CU22" s="15" t="s">
        <v>95</v>
      </c>
      <c r="CV22" s="15" t="s">
        <v>96</v>
      </c>
      <c r="CW22" s="15" t="s">
        <v>97</v>
      </c>
      <c r="CX22" s="15" t="s">
        <v>98</v>
      </c>
      <c r="CY22" s="15" t="s">
        <v>99</v>
      </c>
      <c r="CZ22" s="15" t="s">
        <v>100</v>
      </c>
      <c r="DA22" s="15" t="s">
        <v>101</v>
      </c>
      <c r="DB22" s="15" t="s">
        <v>102</v>
      </c>
      <c r="DC22" s="15" t="s">
        <v>103</v>
      </c>
      <c r="DD22" s="15" t="s">
        <v>104</v>
      </c>
      <c r="DE22" s="15" t="s">
        <v>105</v>
      </c>
      <c r="DF22" s="15" t="s">
        <v>106</v>
      </c>
      <c r="DG22" s="15" t="s">
        <v>107</v>
      </c>
      <c r="DH22" s="15" t="s">
        <v>108</v>
      </c>
    </row>
    <row r="23" customFormat="false" ht="22.35" hidden="false" customHeight="false" outlineLevel="0" collapsed="false">
      <c r="B23" s="36" t="s">
        <v>214</v>
      </c>
      <c r="C23" s="37"/>
      <c r="D23" s="38"/>
      <c r="E23" s="24"/>
      <c r="F23" s="24"/>
      <c r="G23" s="24"/>
      <c r="H23" s="24"/>
      <c r="I23" s="39"/>
      <c r="J23" s="39"/>
      <c r="L23" s="42" t="s">
        <v>212</v>
      </c>
      <c r="M23" s="43" t="str">
        <f aca="false">IF($U$4=0,"",IF($U$59=1,"✓ erfüllt","✗ nicht erfüllt"))</f>
        <v/>
      </c>
      <c r="N23" s="36"/>
      <c r="T23" s="15" t="s">
        <v>210</v>
      </c>
      <c r="U23" s="15" t="n">
        <f aca="false">SUM(BV6,BV7,BV8,BV9,BV26)</f>
        <v>4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IF(Y23=1,IF(ISNUMBER(E23),1,0),IF(AH23="",0,IF(IF($U$38=1,COUNTIF($AH$6:$AK$24,"&gt;"&amp;AH23),COUNTIF($AM$6:$AP$24,"&gt;"&amp;AH23))+COUNTIF($AH$6:$AK$22,AH23)+1&lt;=$U$48,1,0)))</f>
        <v>0</v>
      </c>
      <c r="AS23" s="15" t="n">
        <f aca="false">IF(Y23=1,IF(ISNUMBER(F23),1,0),IF(AI23="",0,IF(IF($U$38=1,COUNTIF($AH$6:$AK$24,"&gt;"&amp;AI23),COUNTIF($AM$6:$AP$24,"&gt;"&amp;AI23))+COUNTIF($AH$6:$AK$22,AI23)+COUNTIF($AH23:AH23,AI23)+1&lt;=$U$48,1,0)))</f>
        <v>0</v>
      </c>
      <c r="AT23" s="15" t="n">
        <f aca="false">IF(Y23=1,IF(ISNUMBER(G23),1,0),IF(AJ23="",0,IF(IF($U$38=1,COUNTIF($AH$6:$AK$24,"&gt;"&amp;AJ23),COUNTIF($AM$6:$AP$24,"&gt;"&amp;AJ23))+COUNTIF($AH$6:$AK$22,AJ23)+COUNTIF($AH23:AI23,AJ23)+1&lt;=$U$48,1,0)))</f>
        <v>0</v>
      </c>
      <c r="AU23" s="15" t="n">
        <f aca="false">IF(Y23=1,IF(ISNUMBER(H23),1,0),IF(AK23="",0,IF(IF($U$38=1,COUNTIF($AH$6:$AK$24,"&gt;"&amp;AK23),COUNTIF($AM$6:$AP$24,"&gt;"&amp;AK23))+COUNTIF($AH$6:$AK$22,AK23)+COUNTIF($AH23:AJ23,AK23)+1&lt;=$U$48,1,0)))</f>
        <v>0</v>
      </c>
      <c r="BZ23" s="15" t="n">
        <f aca="false">IFERROR(LARGE($AH$6:$AK$24,22),0)</f>
        <v>0</v>
      </c>
      <c r="CA23" s="15" t="n">
        <f aca="false">CA22+BZ23</f>
        <v>0</v>
      </c>
      <c r="CB23" s="15" t="n">
        <f aca="false">IFERROR(LARGE($AM$6:$AP$24,22),0)</f>
        <v>0</v>
      </c>
      <c r="CC23" s="15" t="n">
        <f aca="false">CC22+CB23</f>
        <v>0</v>
      </c>
      <c r="CE23" s="15" t="n">
        <f aca="false">IF($M$3&amp;""="2028",36,38)</f>
        <v>38</v>
      </c>
      <c r="CF23" s="15" t="n">
        <f aca="false">CE23-$V$5-$V$6-0</f>
        <v>22</v>
      </c>
      <c r="CG23" s="15" t="n">
        <f aca="false">MAX(0,CF23)</f>
        <v>22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22</v>
      </c>
      <c r="CK23" s="15" t="n">
        <f aca="false">$V$5+CH23+CJ23</f>
        <v>38</v>
      </c>
      <c r="CL23" s="15" t="n">
        <f aca="false">2*BE6+2*BF6+2*BE7+2*BF7</f>
        <v>112</v>
      </c>
      <c r="CM23" s="15" t="n">
        <f aca="false">2*BG6+2*BH6+2*BG7+2*BH7+1*BG8+1*BH8+1*BG9+1*BH9+SUM($AE$11:$AE$24)</f>
        <v>24</v>
      </c>
      <c r="CN23" s="15" t="n">
        <f aca="false">IF(CH23=0,0,INDEX($CC$2:$CC$57,CH23))</f>
        <v>0</v>
      </c>
      <c r="CO23" s="15" t="n">
        <f aca="false">CL23+$V$11+CN23+CJ23*$U$2</f>
        <v>322</v>
      </c>
      <c r="CP23" s="15" t="n">
        <f aca="false">CM23+CH23+CJ23</f>
        <v>46</v>
      </c>
      <c r="CQ23" s="15" t="n">
        <f aca="false">IF(CP23&gt;0,MIN(600,INT((CO23/CP23*40)+0.5+0.000000001)),0)</f>
        <v>280</v>
      </c>
      <c r="CR23" s="15" t="n">
        <f aca="false">$V$9+CT23</f>
        <v>0</v>
      </c>
      <c r="CS23" s="15" t="n">
        <f aca="false">99</f>
        <v>99</v>
      </c>
      <c r="CT23" s="15" t="n">
        <f aca="false">$V$10+MAX(0,CH23-$V$8)+CJ23*IF($U$2&lt;5,1,0)</f>
        <v>0</v>
      </c>
      <c r="CU23" s="15" t="n">
        <f aca="false">$V$11+CN23+CJ23*$U$2</f>
        <v>210</v>
      </c>
      <c r="CV23" s="15" t="n">
        <f aca="false">IF(CQ23&gt;=200,1,0)</f>
        <v>1</v>
      </c>
      <c r="CW23" s="15" t="n">
        <f aca="false">1</f>
        <v>1</v>
      </c>
      <c r="CX23" s="15" t="n">
        <f aca="false">IF($V$9&lt;=3,1,0)</f>
        <v>1</v>
      </c>
      <c r="CY23" s="15" t="n">
        <f aca="false">IF(CT23&lt;=4,1,0)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1028062</v>
      </c>
    </row>
    <row r="24" customFormat="false" ht="15" hidden="false" customHeight="false" outlineLevel="0" collapsed="false">
      <c r="B24" s="36" t="s">
        <v>217</v>
      </c>
      <c r="C24" s="37"/>
      <c r="D24" s="38"/>
      <c r="E24" s="24"/>
      <c r="F24" s="24"/>
      <c r="G24" s="24"/>
      <c r="H24" s="24"/>
      <c r="I24" s="39"/>
      <c r="J24" s="39"/>
      <c r="L24" s="42" t="s">
        <v>215</v>
      </c>
      <c r="M24" s="43" t="str">
        <f aca="false">IF($U$4=0,"",IF($U$64=1,"✓ erfüllt","✗ nicht erfüllt"))</f>
        <v/>
      </c>
      <c r="N24" s="36" t="str">
        <f aca="false">IF($U$4=0,"",$U$62&amp;" Punkte")</f>
        <v/>
      </c>
      <c r="T24" s="15" t="s">
        <v>213</v>
      </c>
      <c r="U24" s="15" t="n">
        <f aca="false">0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IF(Y24=1,IF(ISNUMBER(E24),1,0),IF(AH24="",0,IF(IF($U$38=1,COUNTIF($AH$6:$AK$24,"&gt;"&amp;AH24),COUNTIF($AM$6:$AP$24,"&gt;"&amp;AH24))+COUNTIF($AH$6:$AK$23,AH24)+1&lt;=$U$48,1,0)))</f>
        <v>0</v>
      </c>
      <c r="AS24" s="15" t="n">
        <f aca="false">IF(Y24=1,IF(ISNUMBER(F24),1,0),IF(AI24="",0,IF(IF($U$38=1,COUNTIF($AH$6:$AK$24,"&gt;"&amp;AI24),COUNTIF($AM$6:$AP$24,"&gt;"&amp;AI24))+COUNTIF($AH$6:$AK$23,AI24)+COUNTIF($AH24:AH24,AI24)+1&lt;=$U$48,1,0)))</f>
        <v>0</v>
      </c>
      <c r="AT24" s="15" t="n">
        <f aca="false">IF(Y24=1,IF(ISNUMBER(G24),1,0),IF(AJ24="",0,IF(IF($U$38=1,COUNTIF($AH$6:$AK$24,"&gt;"&amp;AJ24),COUNTIF($AM$6:$AP$24,"&gt;"&amp;AJ24))+COUNTIF($AH$6:$AK$23,AJ24)+COUNTIF($AH24:AI24,AJ24)+1&lt;=$U$48,1,0)))</f>
        <v>0</v>
      </c>
      <c r="AU24" s="15" t="n">
        <f aca="false">IF(Y24=1,IF(ISNUMBER(H24),1,0),IF(AK24="",0,IF(IF($U$38=1,COUNTIF($AH$6:$AK$24,"&gt;"&amp;AK24),COUNTIF($AM$6:$AP$24,"&gt;"&amp;AK24))+COUNTIF($AH$6:$AK$23,AK24)+COUNTIF($AH24:AJ24,AK24)+1&lt;=$U$48,1,0)))</f>
        <v>0</v>
      </c>
      <c r="BZ24" s="15" t="n">
        <f aca="false">IFERROR(LARGE($AH$6:$AK$24,23),0)</f>
        <v>0</v>
      </c>
      <c r="CA24" s="15" t="n">
        <f aca="false">CA23+BZ24</f>
        <v>0</v>
      </c>
      <c r="CB24" s="15" t="n">
        <f aca="false">IFERROR(LARGE($AM$6:$AP$24,23),0)</f>
        <v>0</v>
      </c>
      <c r="CC24" s="15" t="n">
        <f aca="false">CC23+CB24</f>
        <v>0</v>
      </c>
    </row>
    <row r="25" customFormat="false" ht="15" hidden="false" customHeight="false" outlineLevel="0" collapsed="false">
      <c r="L25" s="42" t="str">
        <f aca="false">"In mindestens "&amp;$U$27&amp;" Prüfungen mindestens 5 Punkte (einfach)"</f>
        <v>In mindestens 3 Prüfungen mindestens 5 Punkte (einfach)</v>
      </c>
      <c r="M25" s="43" t="str">
        <f aca="false">IF($U$4=0,"",IF($U$65=1,"✓ erfüllt","✗ nicht erfüllt"))</f>
        <v/>
      </c>
      <c r="N25" s="36" t="str">
        <f aca="false">IF($U$4=0,"",$U$63&amp;" Prüfungen")</f>
        <v/>
      </c>
      <c r="T25" s="15" t="s">
        <v>216</v>
      </c>
      <c r="U25" s="15" t="n">
        <f aca="false">BW6+BW7+BW8+BW9+BW26</f>
        <v>0</v>
      </c>
      <c r="BZ25" s="15" t="n">
        <f aca="false">IFERROR(LARGE($AH$6:$AK$24,24),0)</f>
        <v>0</v>
      </c>
      <c r="CA25" s="15" t="n">
        <f aca="false">CA24+BZ25</f>
        <v>0</v>
      </c>
      <c r="CB25" s="15" t="n">
        <f aca="false">IFERROR(LARGE($AM$6:$AP$24,24),0)</f>
        <v>0</v>
      </c>
      <c r="CC25" s="15" t="n">
        <f aca="false">CC24+CB25</f>
        <v>0</v>
      </c>
    </row>
    <row r="26" customFormat="false" ht="30" hidden="false" customHeight="true" outlineLevel="0" collapsed="false">
      <c r="B26" s="21" t="s">
        <v>338</v>
      </c>
      <c r="C26" s="37"/>
      <c r="I26" s="25"/>
      <c r="J26" s="54" t="s">
        <v>339</v>
      </c>
      <c r="L26" s="42" t="s">
        <v>340</v>
      </c>
      <c r="M26" s="43" t="str">
        <f aca="false">IF($U$4=0,"",IF($U$66=1,"✓ erfüllt","✗ nicht erfüllt"))</f>
        <v/>
      </c>
      <c r="N26" s="36"/>
      <c r="T26" s="15" t="s">
        <v>218</v>
      </c>
      <c r="U26" s="15" t="n">
        <f aca="false">BX6+BX7+BX8+BX9+BX26</f>
        <v>0</v>
      </c>
      <c r="BN26" s="15" t="str">
        <f aca="false">IF(ISNUMBER($I$26),$I$26,"")</f>
        <v/>
      </c>
      <c r="BO26" s="15" t="str">
        <f aca="false">IF(BN26="","",BN26*$U$16)</f>
        <v/>
      </c>
      <c r="BP26" s="15" t="n">
        <f aca="false">IF(BO26="",0,IF(BO26&gt;=5*$U$16-0.000000001,1,0))</f>
        <v>0</v>
      </c>
      <c r="BQ26" s="15" t="n">
        <f aca="false">IF(BO26="",0,IF(BO26&lt;0.000000001,1,0))</f>
        <v>0</v>
      </c>
      <c r="BR26" s="15" t="n">
        <f aca="false">0</f>
        <v>0</v>
      </c>
      <c r="BT26" s="15" t="str">
        <f aca="false">IF(ISNUMBER($I$26),$I$26,"")</f>
        <v/>
      </c>
      <c r="BU26" s="15" t="str">
        <f aca="false">IF(BT26="","",BT26*$U$16)</f>
        <v/>
      </c>
      <c r="BV26" s="15" t="n">
        <f aca="false">IF(BU26="",0,IF(BU26&gt;=5*$U$16-0.000000001,1,0))</f>
        <v>0</v>
      </c>
      <c r="BW26" s="15" t="n">
        <f aca="false">IF(BU26="",0,IF(BU26&lt;0.000000001,1,0))</f>
        <v>0</v>
      </c>
      <c r="BX26" s="15" t="n">
        <f aca="false">0</f>
        <v>0</v>
      </c>
      <c r="BZ26" s="15" t="n">
        <f aca="false">IFERROR(LARGE($AH$6:$AK$24,25),0)</f>
        <v>0</v>
      </c>
      <c r="CA26" s="15" t="n">
        <f aca="false">CA25+BZ26</f>
        <v>0</v>
      </c>
      <c r="CB26" s="15" t="n">
        <f aca="false">IFERROR(LARGE($AM$6:$AP$24,25),0)</f>
        <v>0</v>
      </c>
      <c r="CC26" s="15" t="n">
        <f aca="false">CC25+CB26</f>
        <v>0</v>
      </c>
    </row>
    <row r="27" customFormat="false" ht="15" hidden="false" customHeight="false" outlineLevel="0" collapsed="false">
      <c r="L27" s="42" t="s">
        <v>221</v>
      </c>
      <c r="M27" s="43" t="str">
        <f aca="false">IF($U$4=0,"",IF($U$69=1,"✓ erfüllt","✗ nicht erfüllt"))</f>
        <v/>
      </c>
      <c r="N27" s="36" t="str">
        <f aca="false">IF($U$4=0,"",$U$68&amp;" Punkte")</f>
        <v/>
      </c>
      <c r="T27" s="15" t="s">
        <v>220</v>
      </c>
      <c r="U27" s="15" t="n">
        <f aca="false">3</f>
        <v>3</v>
      </c>
      <c r="BZ27" s="15" t="n">
        <f aca="false">IFERROR(LARGE($AH$6:$AK$24,26),0)</f>
        <v>0</v>
      </c>
      <c r="CA27" s="15" t="n">
        <f aca="false">CA26+BZ27</f>
        <v>0</v>
      </c>
      <c r="CB27" s="15" t="n">
        <f aca="false">IFERROR(LARGE($AM$6:$AP$24,26),0)</f>
        <v>0</v>
      </c>
      <c r="CC27" s="15" t="n">
        <f aca="false">CC26+CB27</f>
        <v>0</v>
      </c>
    </row>
    <row r="28" customFormat="false" ht="15" hidden="false" customHeight="false" outlineLevel="0" collapsed="false">
      <c r="B28" s="5" t="s">
        <v>341</v>
      </c>
      <c r="T28" s="15" t="s">
        <v>222</v>
      </c>
      <c r="U28" s="15" t="n">
        <f aca="false">IF(ISNUMBER($I$6),0,1)+IF(ISNUMBER($I$7),0,1)+IF(ISNUMBER($I$8),0,1)+IF(ISNUMBER($I$9),0,1)</f>
        <v>4</v>
      </c>
      <c r="BZ28" s="15" t="n">
        <f aca="false">IFERROR(LARGE($AH$6:$AK$24,27),0)</f>
        <v>0</v>
      </c>
      <c r="CA28" s="15" t="n">
        <f aca="false">CA27+BZ28</f>
        <v>0</v>
      </c>
      <c r="CB28" s="15" t="n">
        <f aca="false">IFERROR(LARGE($AM$6:$AP$24,27),0)</f>
        <v>0</v>
      </c>
      <c r="CC28" s="15" t="n">
        <f aca="false">CC27+CB28</f>
        <v>0</v>
      </c>
    </row>
    <row r="29" customFormat="false" ht="15" hidden="false" customHeight="false" outlineLevel="0" collapsed="false">
      <c r="B29" s="12" t="str">
        <f aca="false">IF($M$3&amp;""="2028","• 8 Leistungskurse (doppelt) + 28 Grundkurse (einfach).","• 8 Leistungskurse (doppelt) + 30 Grundkurse (einfach).")</f>
        <v>• 8 Leistungskurse (doppelt) + 30 Grundkurse (einfach).</v>
      </c>
      <c r="L29" s="44" t="s">
        <v>226</v>
      </c>
      <c r="T29" s="15" t="s">
        <v>224</v>
      </c>
      <c r="U29" s="15" t="n">
        <f aca="false">IF($U$17&gt;=100,1,0)</f>
        <v>0</v>
      </c>
      <c r="BZ29" s="15" t="n">
        <f aca="false">IFERROR(LARGE($AH$6:$AK$24,28),0)</f>
        <v>0</v>
      </c>
      <c r="CA29" s="15" t="n">
        <f aca="false">CA28+BZ29</f>
        <v>0</v>
      </c>
      <c r="CB29" s="15" t="n">
        <f aca="false">IFERROR(LARGE($AM$6:$AP$24,28),0)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tr">
        <f aca="false">IF($M$3&amp;""="2028","• Block I = Punktsumme / 44 × 40, kaufmännisch gerundet.","• Block I = Punktsumme / 46 × 40, kaufmännisch gerundet.")</f>
        <v>• Block I = Punktsumme / 46 × 40, kaufmännisch gerundet.</v>
      </c>
      <c r="L30" s="8" t="s">
        <v>229</v>
      </c>
      <c r="T30" s="15" t="s">
        <v>227</v>
      </c>
      <c r="U30" s="15" t="n">
        <f aca="false">IF(AND($U$18&gt;=$U$27,$U$19&gt;=0),1,0)</f>
        <v>0</v>
      </c>
      <c r="BZ30" s="15" t="n">
        <f aca="false">IFERROR(LARGE($AH$6:$AK$24,29),0)</f>
        <v>0</v>
      </c>
      <c r="CA30" s="15" t="n">
        <f aca="false">CA29+BZ30</f>
        <v>0</v>
      </c>
      <c r="CB30" s="15" t="n">
        <f aca="false">IFERROR(LARGE($AM$6:$AP$24,29),0)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342</v>
      </c>
      <c r="L31" s="45" t="s">
        <v>232</v>
      </c>
      <c r="T31" s="15" t="s">
        <v>230</v>
      </c>
      <c r="U31" s="15" t="n">
        <f aca="false">IF($U$20=0,1,0)</f>
        <v>1</v>
      </c>
      <c r="BZ31" s="15" t="n">
        <f aca="false">IFERROR(LARGE($AH$6:$AK$24,30),0)</f>
        <v>0</v>
      </c>
      <c r="CA31" s="15" t="n">
        <f aca="false">CA30+BZ31</f>
        <v>0</v>
      </c>
      <c r="CB31" s="15" t="n">
        <f aca="false">IFERROR(LARGE($AM$6:$AP$24,30),0)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343</v>
      </c>
      <c r="L32" s="46" t="s">
        <v>235</v>
      </c>
      <c r="T32" s="15" t="s">
        <v>233</v>
      </c>
      <c r="U32" s="15" t="n">
        <f aca="false">$U$29*$U$30*$U$31</f>
        <v>0</v>
      </c>
      <c r="BZ32" s="15" t="n">
        <f aca="false">IFERROR(LARGE($AH$6:$AK$24,31),0)</f>
        <v>0</v>
      </c>
      <c r="CA32" s="15" t="n">
        <f aca="false">CA31+BZ32</f>
        <v>0</v>
      </c>
      <c r="CB32" s="15" t="n">
        <f aca="false">IFERROR(LARGE($AM$6:$AP$24,31),0)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344</v>
      </c>
      <c r="L33" s="47" t="s">
        <v>238</v>
      </c>
      <c r="T33" s="15" t="s">
        <v>236</v>
      </c>
      <c r="U33" s="15" t="n">
        <f aca="false">IF($U$22&gt;=100,1,0)</f>
        <v>1</v>
      </c>
      <c r="BZ33" s="15" t="n">
        <f aca="false">IFERROR(LARGE($AH$6:$AK$24,32),0)</f>
        <v>0</v>
      </c>
      <c r="CA33" s="15" t="n">
        <f aca="false">CA32+BZ33</f>
        <v>0</v>
      </c>
      <c r="CB33" s="15" t="n">
        <f aca="false">IFERROR(LARGE($AM$6:$AP$24,32),0)</f>
        <v>0</v>
      </c>
      <c r="CC33" s="15" t="n">
        <f aca="false">CC32+CB33</f>
        <v>0</v>
      </c>
    </row>
    <row r="34" customFormat="false" ht="15" hidden="false" customHeight="false" outlineLevel="0" collapsed="false">
      <c r="T34" s="15" t="s">
        <v>239</v>
      </c>
      <c r="U34" s="15" t="n">
        <f aca="false">IF(AND($U$23&gt;=$U$27,$U$24&gt;=0),1,0)</f>
        <v>1</v>
      </c>
      <c r="BZ34" s="15" t="n">
        <f aca="false">IFERROR(LARGE($AH$6:$AK$24,33),0)</f>
        <v>0</v>
      </c>
      <c r="CA34" s="15" t="n">
        <f aca="false">CA33+BZ34</f>
        <v>0</v>
      </c>
      <c r="CB34" s="15" t="n">
        <f aca="false">IFERROR(LARGE($AM$6:$AP$24,33),0)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8" t="s">
        <v>345</v>
      </c>
      <c r="L35" s="48" t="s">
        <v>242</v>
      </c>
      <c r="T35" s="15" t="s">
        <v>240</v>
      </c>
      <c r="U35" s="15" t="n">
        <f aca="false">IF($U$25=0,1,0)</f>
        <v>1</v>
      </c>
      <c r="BZ35" s="15" t="n">
        <f aca="false">IFERROR(LARGE($AH$6:$AK$24,34),0)</f>
        <v>0</v>
      </c>
      <c r="CA35" s="15" t="n">
        <f aca="false">CA34+BZ35</f>
        <v>0</v>
      </c>
      <c r="CB35" s="15" t="n">
        <f aca="false">IFERROR(LARGE($AM$6:$AP$24,34),0)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49" t="s">
        <v>346</v>
      </c>
      <c r="L36" s="48" t="s">
        <v>245</v>
      </c>
      <c r="T36" s="15" t="s">
        <v>243</v>
      </c>
      <c r="U36" s="15" t="n">
        <f aca="false">$U$33*$U$34*$U$35</f>
        <v>1</v>
      </c>
      <c r="BZ36" s="15" t="n">
        <f aca="false">IFERROR(LARGE($AH$6:$AK$24,35),0)</f>
        <v>0</v>
      </c>
      <c r="CA36" s="15" t="n">
        <f aca="false">CA35+BZ36</f>
        <v>0</v>
      </c>
      <c r="CB36" s="15" t="n">
        <f aca="false">IFERROR(LARGE($AM$6:$AP$24,35),0)</f>
        <v>0</v>
      </c>
      <c r="CC36" s="15" t="n">
        <f aca="false">CC35+CB36</f>
        <v>0</v>
      </c>
    </row>
    <row r="37" customFormat="false" ht="15" hidden="false" customHeight="false" outlineLevel="0" collapsed="false">
      <c r="T37" s="15" t="s">
        <v>246</v>
      </c>
      <c r="U37" s="15" t="n">
        <f aca="false">INDEX($DG$3:$DG$3,$U$13)+$U$28</f>
        <v>42</v>
      </c>
      <c r="BZ37" s="15" t="n">
        <f aca="false">IFERROR(LARGE($AH$6:$AK$24,36),0)</f>
        <v>0</v>
      </c>
      <c r="CA37" s="15" t="n">
        <f aca="false">CA36+BZ37</f>
        <v>0</v>
      </c>
      <c r="CB37" s="15" t="n">
        <f aca="false">IFERROR(LARGE($AM$6:$AP$24,36),0)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0" t="s">
        <v>347</v>
      </c>
      <c r="T38" s="15" t="s">
        <v>247</v>
      </c>
      <c r="U38" s="15" t="n">
        <f aca="false">IF($U$37=0,1,0)</f>
        <v>0</v>
      </c>
      <c r="BZ38" s="15" t="n">
        <f aca="false">IFERROR(LARGE($AH$6:$AK$24,37),0)</f>
        <v>0</v>
      </c>
      <c r="CA38" s="15" t="n">
        <f aca="false">CA37+BZ38</f>
        <v>0</v>
      </c>
      <c r="CB38" s="15" t="n">
        <f aca="false">IFERROR(LARGE($AM$6:$AP$24,37),0)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1" t="s">
        <v>250</v>
      </c>
      <c r="T39" s="15" t="s">
        <v>249</v>
      </c>
      <c r="U39" s="15" t="n">
        <f aca="false">IF($U$38=1,INDEX($CQ$3:$CQ$3,$U$13),INDEX($CQ$23:$CQ$23,$U$14))</f>
        <v>280</v>
      </c>
      <c r="BZ39" s="15" t="n">
        <f aca="false">IFERROR(LARGE($AH$6:$AK$24,38),0)</f>
        <v>0</v>
      </c>
      <c r="CA39" s="15" t="n">
        <f aca="false">CA38+BZ39</f>
        <v>0</v>
      </c>
      <c r="CB39" s="15" t="n">
        <f aca="false">IFERROR(LARGE($AM$6:$AP$24,38),0)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251</v>
      </c>
      <c r="U40" s="15" t="n">
        <f aca="false">IF($U$38=1,INDEX($CK$3:$CK$3,$U$13),INDEX($CK$23:$CK$23,$U$14))</f>
        <v>38</v>
      </c>
      <c r="BZ40" s="15" t="n">
        <f aca="false">IFERROR(LARGE($AH$6:$AK$24,39),0)</f>
        <v>0</v>
      </c>
      <c r="CA40" s="15" t="n">
        <f aca="false">CA39+BZ40</f>
        <v>0</v>
      </c>
      <c r="CB40" s="15" t="n">
        <f aca="false">IFERROR(LARGE($AM$6:$AP$24,39),0)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252</v>
      </c>
      <c r="U41" s="15" t="n">
        <f aca="false">IF($U$38=1,INDEX($CR$3:$CR$3,$U$13),INDEX($CR$23:$CR$23,$U$14))</f>
        <v>0</v>
      </c>
      <c r="BZ41" s="15" t="n">
        <f aca="false">IFERROR(LARGE($AH$6:$AK$24,40),0)</f>
        <v>0</v>
      </c>
      <c r="CA41" s="15" t="n">
        <f aca="false">CA40+BZ41</f>
        <v>0</v>
      </c>
      <c r="CB41" s="15" t="n">
        <f aca="false">IFERROR(LARGE($AM$6:$AP$24,40),0)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253</v>
      </c>
      <c r="U42" s="15" t="n">
        <f aca="false">IF($U$38=1,INDEX($CS$3:$CS$3,$U$13),INDEX($CS$23:$CS$23,$U$14))</f>
        <v>99</v>
      </c>
      <c r="BZ42" s="15" t="n">
        <f aca="false">IFERROR(LARGE($AH$6:$AK$24,41),0)</f>
        <v>0</v>
      </c>
      <c r="CA42" s="15" t="n">
        <f aca="false">CA41+BZ42</f>
        <v>0</v>
      </c>
      <c r="CB42" s="15" t="n">
        <f aca="false">IFERROR(LARGE($AM$6:$AP$24,41),0)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254</v>
      </c>
      <c r="U43" s="15" t="n">
        <f aca="false">IF($U$38=1,INDEX($CT$3:$CT$3,$U$13),INDEX($CT$23:$CT$23,$U$14))</f>
        <v>0</v>
      </c>
      <c r="BZ43" s="15" t="n">
        <f aca="false">IFERROR(LARGE($AH$6:$AK$24,42),0)</f>
        <v>0</v>
      </c>
      <c r="CA43" s="15" t="n">
        <f aca="false">CA42+BZ43</f>
        <v>0</v>
      </c>
      <c r="CB43" s="15" t="n">
        <f aca="false">IFERROR(LARGE($AM$6:$AP$24,42),0)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255</v>
      </c>
      <c r="U44" s="15" t="n">
        <f aca="false">IF($U$38=1,INDEX($CL$3:$CL$3,$U$13),INDEX($CL$23:$CL$23,$U$14))</f>
        <v>112</v>
      </c>
      <c r="BZ44" s="15" t="n">
        <f aca="false">IFERROR(LARGE($AH$6:$AK$24,43),0)</f>
        <v>0</v>
      </c>
      <c r="CA44" s="15" t="n">
        <f aca="false">CA43+BZ44</f>
        <v>0</v>
      </c>
      <c r="CB44" s="15" t="n">
        <f aca="false">IFERROR(LARGE($AM$6:$AP$24,43),0)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256</v>
      </c>
      <c r="U45" s="15" t="n">
        <f aca="false">IF($U$38=1,INDEX($CU$3:$CU$3,$U$13),INDEX($CU$23:$CU$23,$U$14))</f>
        <v>210</v>
      </c>
      <c r="BZ45" s="15" t="n">
        <f aca="false">IFERROR(LARGE($AH$6:$AK$24,44),0)</f>
        <v>0</v>
      </c>
      <c r="CA45" s="15" t="n">
        <f aca="false">CA44+BZ45</f>
        <v>0</v>
      </c>
      <c r="CB45" s="15" t="n">
        <f aca="false">IFERROR(LARGE($AM$6:$AP$24,44),0)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257</v>
      </c>
      <c r="U46" s="15" t="n">
        <f aca="false">IF($U$38=1,INDEX($CP$3:$CP$3,$U$13),INDEX($CP$23:$CP$23,$U$14))</f>
        <v>46</v>
      </c>
      <c r="BZ46" s="15" t="n">
        <f aca="false">IFERROR(LARGE($AH$6:$AK$24,45),0)</f>
        <v>0</v>
      </c>
      <c r="CA46" s="15" t="n">
        <f aca="false">CA45+BZ46</f>
        <v>0</v>
      </c>
      <c r="CB46" s="15" t="n">
        <f aca="false">IFERROR(LARGE($AM$6:$AP$24,45),0)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258</v>
      </c>
      <c r="U47" s="15" t="n">
        <f aca="false">IF($U$38=1,INDEX($CO$3:$CO$3,$U$13),INDEX($CO$23:$CO$23,$U$14))</f>
        <v>322</v>
      </c>
      <c r="BZ47" s="15" t="n">
        <f aca="false">IFERROR(LARGE($AH$6:$AK$24,46),0)</f>
        <v>0</v>
      </c>
      <c r="CA47" s="15" t="n">
        <f aca="false">CA46+BZ47</f>
        <v>0</v>
      </c>
      <c r="CB47" s="15" t="n">
        <f aca="false">IFERROR(LARGE($AM$6:$AP$24,46),0)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259</v>
      </c>
      <c r="U48" s="15" t="n">
        <f aca="false">IF($U$38=1,INDEX($CH$3:$CH$3,$U$13),INDEX($CH$23:$CH$23,$U$14))</f>
        <v>0</v>
      </c>
      <c r="BZ48" s="15" t="n">
        <f aca="false">IFERROR(LARGE($AH$6:$AK$24,47),0)</f>
        <v>0</v>
      </c>
      <c r="CA48" s="15" t="n">
        <f aca="false">CA47+BZ48</f>
        <v>0</v>
      </c>
      <c r="CB48" s="15" t="n">
        <f aca="false">IFERROR(LARGE($AM$6:$AP$24,47),0)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260</v>
      </c>
      <c r="U49" s="15" t="n">
        <f aca="false">IF($U$38=1,INDEX($DF$3:$DF$3,$U$13),INDEX($DF$23:$DF$23,$U$14))</f>
        <v>1</v>
      </c>
      <c r="BZ49" s="15" t="n">
        <f aca="false">IFERROR(LARGE($AH$6:$AK$24,48),0)</f>
        <v>0</v>
      </c>
      <c r="CA49" s="15" t="n">
        <f aca="false">CA48+BZ49</f>
        <v>0</v>
      </c>
      <c r="CB49" s="15" t="n">
        <f aca="false">IFERROR(LARGE($AM$6:$AP$24,48),0)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261</v>
      </c>
      <c r="U50" s="15" t="n">
        <f aca="false">IF($U$38=1,INDEX($CV$3:$CV$3,$U$13),INDEX($CV$23:$CV$23,$U$14))</f>
        <v>1</v>
      </c>
      <c r="BZ50" s="15" t="n">
        <f aca="false">IFERROR(LARGE($AH$6:$AK$24,49),0)</f>
        <v>0</v>
      </c>
      <c r="CA50" s="15" t="n">
        <f aca="false">CA49+BZ50</f>
        <v>0</v>
      </c>
      <c r="CB50" s="15" t="n">
        <f aca="false">IFERROR(LARGE($AM$6:$AP$24,49),0)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262</v>
      </c>
      <c r="U51" s="15" t="n">
        <f aca="false">IF($U$38=1,INDEX($CW$3:$CW$3,$U$13),INDEX($CW$23:$CW$23,$U$14))</f>
        <v>1</v>
      </c>
      <c r="BZ51" s="15" t="n">
        <f aca="false">IFERROR(LARGE($AH$6:$AK$24,50),0)</f>
        <v>0</v>
      </c>
      <c r="CA51" s="15" t="n">
        <f aca="false">CA50+BZ51</f>
        <v>0</v>
      </c>
      <c r="CB51" s="15" t="n">
        <f aca="false">IFERROR(LARGE($AM$6:$AP$24,50),0)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263</v>
      </c>
      <c r="U52" s="15" t="n">
        <f aca="false">IF($U$38=1,INDEX($CX$3:$CX$3,$U$13),INDEX($CX$23:$CX$23,$U$14))</f>
        <v>1</v>
      </c>
      <c r="BZ52" s="15" t="n">
        <f aca="false">IFERROR(LARGE($AH$6:$AK$24,51),0)</f>
        <v>0</v>
      </c>
      <c r="CA52" s="15" t="n">
        <f aca="false">CA51+BZ52</f>
        <v>0</v>
      </c>
      <c r="CB52" s="15" t="n">
        <f aca="false">IFERROR(LARGE($AM$6:$AP$24,51),0)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264</v>
      </c>
      <c r="U53" s="15" t="n">
        <f aca="false">IF($U$38=1,INDEX($CY$3:$CY$3,$U$13),INDEX($CY$23:$CY$23,$U$14))</f>
        <v>1</v>
      </c>
      <c r="BZ53" s="15" t="n">
        <f aca="false">IFERROR(LARGE($AH$6:$AK$24,52),0)</f>
        <v>0</v>
      </c>
      <c r="CA53" s="15" t="n">
        <f aca="false">CA52+BZ53</f>
        <v>0</v>
      </c>
      <c r="CB53" s="15" t="n">
        <f aca="false">IFERROR(LARGE($AM$6:$AP$24,52),0)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265</v>
      </c>
      <c r="U54" s="15" t="n">
        <f aca="false">IF($U$38=1,INDEX($CZ$3:$CZ$3,$U$13),INDEX($CZ$23:$CZ$23,$U$14))</f>
        <v>1</v>
      </c>
      <c r="BZ54" s="15" t="n">
        <f aca="false">IFERROR(LARGE($AH$6:$AK$24,53),0)</f>
        <v>0</v>
      </c>
      <c r="CA54" s="15" t="n">
        <f aca="false">CA53+BZ54</f>
        <v>0</v>
      </c>
      <c r="CB54" s="15" t="n">
        <f aca="false">IFERROR(LARGE($AM$6:$AP$24,53),0)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266</v>
      </c>
      <c r="U55" s="15" t="n">
        <f aca="false">IF($U$38=1,INDEX($DA$3:$DA$3,$U$13),INDEX($DA$23:$DA$23,$U$14))</f>
        <v>1</v>
      </c>
      <c r="BZ55" s="15" t="n">
        <f aca="false">IFERROR(LARGE($AH$6:$AK$24,54),0)</f>
        <v>0</v>
      </c>
      <c r="CA55" s="15" t="n">
        <f aca="false">CA54+BZ55</f>
        <v>0</v>
      </c>
      <c r="CB55" s="15" t="n">
        <f aca="false">IFERROR(LARGE($AM$6:$AP$24,54),0)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267</v>
      </c>
      <c r="U56" s="15" t="n">
        <f aca="false">IF($U$38=1,INDEX($DB$3:$DB$3,$U$13),INDEX($DB$23:$DB$23,$U$14))</f>
        <v>1</v>
      </c>
      <c r="BZ56" s="15" t="n">
        <f aca="false">IFERROR(LARGE($AH$6:$AK$24,55),0)</f>
        <v>0</v>
      </c>
      <c r="CA56" s="15" t="n">
        <f aca="false">CA55+BZ56</f>
        <v>0</v>
      </c>
      <c r="CB56" s="15" t="n">
        <f aca="false">IFERROR(LARGE($AM$6:$AP$24,55),0)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268</v>
      </c>
      <c r="U57" s="15" t="n">
        <f aca="false">IF($U$38=1,INDEX($DC$3:$DC$3,$U$13),INDEX($DC$23:$DC$23,$U$14))</f>
        <v>1</v>
      </c>
      <c r="BZ57" s="15" t="n">
        <f aca="false">IFERROR(LARGE($AH$6:$AK$24,56),0)</f>
        <v>0</v>
      </c>
      <c r="CA57" s="15" t="n">
        <f aca="false">CA56+BZ57</f>
        <v>0</v>
      </c>
      <c r="CB57" s="15" t="n">
        <f aca="false">IFERROR(LARGE($AM$6:$AP$24,56),0)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269</v>
      </c>
      <c r="U58" s="15" t="n">
        <f aca="false">IF($U$38=1,INDEX($DD$3:$DD$3,$U$13),INDEX($DD$23:$DD$23,$U$14))</f>
        <v>1</v>
      </c>
    </row>
    <row r="59" customFormat="false" ht="15" hidden="false" customHeight="false" outlineLevel="0" collapsed="false">
      <c r="T59" s="15" t="s">
        <v>270</v>
      </c>
      <c r="U59" s="15" t="n">
        <f aca="false">IF($U$38=1,INDEX($DE$3:$DE$3,$U$13),INDEX($DE$23:$DE$23,$U$14))</f>
        <v>1</v>
      </c>
    </row>
    <row r="60" customFormat="false" ht="15" hidden="false" customHeight="false" outlineLevel="0" collapsed="false">
      <c r="T60" s="15" t="s">
        <v>271</v>
      </c>
      <c r="U60" s="15" t="n">
        <f aca="false">IF($U$38=1,$U$13,$U$14)</f>
        <v>1</v>
      </c>
    </row>
    <row r="61" customFormat="false" ht="15" hidden="false" customHeight="false" outlineLevel="0" collapsed="false">
      <c r="T61" s="15" t="s">
        <v>272</v>
      </c>
      <c r="U61" s="15" t="n">
        <f aca="false">IF($U$38=1,$U$9,$V$9)</f>
        <v>0</v>
      </c>
    </row>
    <row r="62" customFormat="false" ht="15" hidden="false" customHeight="false" outlineLevel="0" collapsed="false">
      <c r="T62" s="15" t="s">
        <v>273</v>
      </c>
      <c r="U62" s="15" t="n">
        <f aca="false">IF($U$38=1,$U$17,$U$22)</f>
        <v>140</v>
      </c>
    </row>
    <row r="63" customFormat="false" ht="15" hidden="false" customHeight="false" outlineLevel="0" collapsed="false">
      <c r="T63" s="15" t="s">
        <v>274</v>
      </c>
      <c r="U63" s="15" t="n">
        <f aca="false">IF($U$38=1,$U$18,$U$23)</f>
        <v>4</v>
      </c>
    </row>
    <row r="64" customFormat="false" ht="15" hidden="false" customHeight="false" outlineLevel="0" collapsed="false">
      <c r="T64" s="15" t="s">
        <v>275</v>
      </c>
      <c r="U64" s="15" t="n">
        <f aca="false">IF($U$38=1,$U$29,$U$33)</f>
        <v>1</v>
      </c>
    </row>
    <row r="65" customFormat="false" ht="15" hidden="false" customHeight="false" outlineLevel="0" collapsed="false">
      <c r="T65" s="15" t="s">
        <v>276</v>
      </c>
      <c r="U65" s="15" t="n">
        <f aca="false">IF($U$38=1,$U$30,$U$34)</f>
        <v>1</v>
      </c>
    </row>
    <row r="66" customFormat="false" ht="15" hidden="false" customHeight="false" outlineLevel="0" collapsed="false">
      <c r="T66" s="15" t="s">
        <v>277</v>
      </c>
      <c r="U66" s="15" t="n">
        <f aca="false">IF($U$38=1,$U$31,$U$35)</f>
        <v>1</v>
      </c>
    </row>
    <row r="67" customFormat="false" ht="15" hidden="false" customHeight="false" outlineLevel="0" collapsed="false">
      <c r="T67" s="15" t="s">
        <v>278</v>
      </c>
      <c r="U67" s="15" t="n">
        <f aca="false">IF($U$38=1,$U$32,$U$36)</f>
        <v>1</v>
      </c>
    </row>
    <row r="68" customFormat="false" ht="15" hidden="false" customHeight="false" outlineLevel="0" collapsed="false">
      <c r="T68" s="15" t="s">
        <v>188</v>
      </c>
      <c r="U68" s="15" t="n">
        <f aca="false">$U$39+$U$62</f>
        <v>420</v>
      </c>
    </row>
    <row r="69" customFormat="false" ht="15" hidden="false" customHeight="false" outlineLevel="0" collapsed="false">
      <c r="T69" s="15" t="s">
        <v>279</v>
      </c>
      <c r="U69" s="15" t="n">
        <f aca="false">IF($U$68&gt;=300,1,0)</f>
        <v>1</v>
      </c>
    </row>
    <row r="70" customFormat="false" ht="15" hidden="false" customHeight="false" outlineLevel="0" collapsed="false">
      <c r="T70" s="0" t="s">
        <v>280</v>
      </c>
      <c r="U70" s="0" t="n">
        <f aca="false">IF($U$49*$U$67*$U$69=1,1,0)</f>
        <v>1</v>
      </c>
    </row>
    <row r="71" customFormat="false" ht="15" hidden="false" customHeight="false" outlineLevel="0" collapsed="false">
      <c r="T71" s="0" t="s">
        <v>281</v>
      </c>
      <c r="U71" s="0" t="n">
        <f aca="false">IF($U$68&lt;300,"",MAX(10,MIN(40,INT((1020-$U$68)/18))))</f>
        <v>33</v>
      </c>
    </row>
    <row r="72" customFormat="false" ht="15" hidden="false" customHeight="false" outlineLevel="0" collapsed="false">
      <c r="T72" s="0" t="s">
        <v>282</v>
      </c>
      <c r="U72" s="0" t="n">
        <f aca="false">IF($U$71="",MAX(0,300-$U$68),IF($U$71&gt;10,1021-18*$U$71-$U$68,""))</f>
        <v>7</v>
      </c>
    </row>
    <row r="73" customFormat="false" ht="15" hidden="false" customHeight="false" outlineLevel="0" collapsed="false">
      <c r="T73" s="0" t="s">
        <v>283</v>
      </c>
      <c r="U73" s="0" t="n">
        <f aca="false">IF($U$71="","",$U$68-IF($U$71&gt;=40,300,1020-18*($U$71+1)+1))</f>
        <v>11</v>
      </c>
    </row>
  </sheetData>
  <sheetProtection sheet="true" formatCells="false" formatColumns="false" formatRows="false"/>
  <mergeCells count="1">
    <mergeCell ref="M6:N6"/>
  </mergeCells>
  <conditionalFormatting sqref="E6:H24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9">
    <cfRule type="expression" priority="5" aboveAverage="0" equalAverage="0" bottom="0" percent="0" rank="0" text="" dxfId="3">
      <formula>AND(ISNUMBER(I6),I6&lt;5)</formula>
    </cfRule>
  </conditionalFormatting>
  <conditionalFormatting sqref="M19:M27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3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8 E9:I9 E11:H24 I26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1:D24" type="list">
      <formula1>"x"</formula1>
      <formula2>0</formula2>
    </dataValidation>
    <dataValidation allowBlank="false" error="Bitte 2027 oder 2028 wählen." errorStyle="stop" errorTitle="Abiturjahrgang" operator="between" showDropDown="false" showErrorMessage="false" showInputMessage="false" sqref="M3" type="list">
      <formula1>"2027,2028"</formula1>
      <formula2>0</formula2>
    </dataValidation>
  </dataValidations>
  <hyperlinks>
    <hyperlink ref="B36" r:id="rId2" display="https://bravors.brandenburg.de/verordnungen/gostv/9"/>
    <hyperlink ref="B38" r:id="rId3" display="Online-Rechner Brandenburg mit Statistik und PDF-Download: https://www.abi-rechner.com/bundeslander/brandenburg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Brandenburg · abi-rechner.com · Stand September 2026</oddFooter>
  </headerFooter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7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348</v>
      </c>
      <c r="T1" s="15" t="s">
        <v>72</v>
      </c>
      <c r="BZ1" s="15" t="s">
        <v>73</v>
      </c>
      <c r="CA1" s="15" t="s">
        <v>74</v>
      </c>
      <c r="CB1" s="15" t="s">
        <v>75</v>
      </c>
      <c r="CC1" s="15" t="s">
        <v>76</v>
      </c>
    </row>
    <row r="2" customFormat="false" ht="15" hidden="false" customHeight="false" outlineLevel="0" collapsed="false">
      <c r="B2" s="2" t="s">
        <v>349</v>
      </c>
      <c r="T2" s="15" t="s">
        <v>78</v>
      </c>
      <c r="U2" s="15" t="n">
        <f aca="false">IFERROR(AVERAGE($E$6:$H$24),7)</f>
        <v>7</v>
      </c>
      <c r="BZ2" s="15" t="n">
        <f aca="false">IFERROR(LARGE($AH$6:$AK$24,1),0)</f>
        <v>0</v>
      </c>
      <c r="CA2" s="15" t="n">
        <f aca="false">BZ2</f>
        <v>0</v>
      </c>
      <c r="CB2" s="15" t="n">
        <f aca="false">IFERROR(LARGE($AM$6:$AP$24,1),0)</f>
        <v>0</v>
      </c>
      <c r="CC2" s="15" t="n">
        <f aca="false">CB2</f>
        <v>0</v>
      </c>
      <c r="CE2" s="15" t="s">
        <v>79</v>
      </c>
      <c r="CF2" s="15" t="s">
        <v>80</v>
      </c>
      <c r="CG2" s="15" t="s">
        <v>81</v>
      </c>
      <c r="CH2" s="15" t="s">
        <v>82</v>
      </c>
      <c r="CI2" s="15" t="s">
        <v>83</v>
      </c>
      <c r="CJ2" s="15" t="s">
        <v>84</v>
      </c>
      <c r="CK2" s="15" t="s">
        <v>85</v>
      </c>
      <c r="CL2" s="15" t="s">
        <v>86</v>
      </c>
      <c r="CM2" s="15" t="s">
        <v>87</v>
      </c>
      <c r="CN2" s="15" t="s">
        <v>88</v>
      </c>
      <c r="CO2" s="15" t="s">
        <v>89</v>
      </c>
      <c r="CP2" s="15" t="s">
        <v>90</v>
      </c>
      <c r="CQ2" s="15" t="s">
        <v>91</v>
      </c>
      <c r="CR2" s="15" t="s">
        <v>92</v>
      </c>
      <c r="CS2" s="15" t="s">
        <v>93</v>
      </c>
      <c r="CT2" s="15" t="s">
        <v>94</v>
      </c>
      <c r="CU2" s="15" t="s">
        <v>95</v>
      </c>
      <c r="CV2" s="15" t="s">
        <v>96</v>
      </c>
      <c r="CW2" s="15" t="s">
        <v>97</v>
      </c>
      <c r="CX2" s="15" t="s">
        <v>98</v>
      </c>
      <c r="CY2" s="15" t="s">
        <v>99</v>
      </c>
      <c r="CZ2" s="15" t="s">
        <v>100</v>
      </c>
      <c r="DA2" s="15" t="s">
        <v>101</v>
      </c>
      <c r="DB2" s="15" t="s">
        <v>102</v>
      </c>
      <c r="DC2" s="15" t="s">
        <v>103</v>
      </c>
      <c r="DD2" s="15" t="s">
        <v>104</v>
      </c>
      <c r="DE2" s="15" t="s">
        <v>105</v>
      </c>
      <c r="DF2" s="15" t="s">
        <v>106</v>
      </c>
      <c r="DG2" s="15" t="s">
        <v>107</v>
      </c>
      <c r="DH2" s="15" t="s">
        <v>108</v>
      </c>
    </row>
    <row r="3" customFormat="false" ht="15" hidden="false" customHeight="false" outlineLevel="0" collapsed="false">
      <c r="B3" s="16" t="s">
        <v>109</v>
      </c>
      <c r="T3" s="15" t="s">
        <v>110</v>
      </c>
      <c r="U3" s="15" t="n">
        <f aca="false">IFERROR(AVERAGE($I$6:$I$9),$U$2)</f>
        <v>7</v>
      </c>
      <c r="BZ3" s="15" t="n">
        <f aca="false">IFERROR(LARGE($AH$6:$AK$24,2),0)</f>
        <v>0</v>
      </c>
      <c r="CA3" s="15" t="n">
        <f aca="false">CA2+BZ3</f>
        <v>0</v>
      </c>
      <c r="CB3" s="15" t="n">
        <f aca="false">IFERROR(LARGE($AM$6:$AP$24,2),0)</f>
        <v>0</v>
      </c>
      <c r="CC3" s="15" t="n">
        <f aca="false">CC2+CB3</f>
        <v>0</v>
      </c>
      <c r="CE3" s="15" t="n">
        <f aca="false">32</f>
        <v>32</v>
      </c>
      <c r="CF3" s="15" t="n">
        <f aca="false">CE3-$U$5-$U$6-0</f>
        <v>16</v>
      </c>
      <c r="CG3" s="15" t="n">
        <f aca="false">MAX(0,CF3)</f>
        <v>16</v>
      </c>
      <c r="CH3" s="15" t="n">
        <f aca="false">MIN(CG3,$U$7)</f>
        <v>0</v>
      </c>
      <c r="CI3" s="15" t="n">
        <f aca="false">CG3-CH3</f>
        <v>16</v>
      </c>
      <c r="CJ3" s="15" t="n">
        <f aca="false">0</f>
        <v>0</v>
      </c>
      <c r="CK3" s="15" t="n">
        <f aca="false">$U$5+CH3+CJ3+$U$14*0</f>
        <v>0</v>
      </c>
      <c r="CL3" s="15" t="n">
        <f aca="false">2*AW6+1*AX6+2*AW7+1*AX7</f>
        <v>0</v>
      </c>
      <c r="CM3" s="15" t="n">
        <f aca="false">2*AY6+1*AZ6+2*AY7+1*AZ7+1*AY8+1*AZ8+1*AY9+1*AZ9+SUM($AA$11:$AA$24)</f>
        <v>0</v>
      </c>
      <c r="CN3" s="15" t="n">
        <f aca="false">IF(CH3=0,0,INDEX($CA$2:$CA$57,CH3))</f>
        <v>0</v>
      </c>
      <c r="CO3" s="15" t="n">
        <f aca="false">CL3+$U$11+CN3+CJ3*$U$2+IF($U$14=1,$U$13*2,0)</f>
        <v>0</v>
      </c>
      <c r="CP3" s="15" t="n">
        <f aca="false">CM3+CH3+CJ3+$U$14*2</f>
        <v>0</v>
      </c>
      <c r="CQ3" s="15" t="n">
        <f aca="false">MIN(600,INT((CO3)+0.5+0.000000001))</f>
        <v>0</v>
      </c>
      <c r="CR3" s="15" t="n">
        <f aca="false">$U$9+CT3</f>
        <v>0</v>
      </c>
      <c r="CS3" s="15" t="n">
        <f aca="false">6</f>
        <v>6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IF($U$9&lt;=2,1,0)</f>
        <v>1</v>
      </c>
      <c r="CY3" s="15" t="n">
        <f aca="false">1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32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111</v>
      </c>
      <c r="U4" s="15" t="n">
        <f aca="false">IF(COUNT($E$6:$H$24,$I$6:$I$9)&gt;0,1,0)</f>
        <v>0</v>
      </c>
      <c r="BZ4" s="15" t="n">
        <f aca="false">IFERROR(LARGE($AH$6:$AK$24,3),0)</f>
        <v>0</v>
      </c>
      <c r="CA4" s="15" t="n">
        <f aca="false">CA3+BZ4</f>
        <v>0</v>
      </c>
      <c r="CB4" s="15" t="n">
        <f aca="false">IFERROR(LARGE($AM$6:$AP$24,3),0)</f>
        <v>0</v>
      </c>
      <c r="CC4" s="15" t="n">
        <f aca="false">CC3+CB4</f>
        <v>0</v>
      </c>
    </row>
    <row r="5" customFormat="false" ht="30" hidden="false" customHeight="true" outlineLevel="0" collapsed="false">
      <c r="B5" s="17" t="s">
        <v>9</v>
      </c>
      <c r="C5" s="17" t="s">
        <v>112</v>
      </c>
      <c r="D5" s="18"/>
      <c r="E5" s="18" t="s">
        <v>113</v>
      </c>
      <c r="F5" s="18" t="s">
        <v>114</v>
      </c>
      <c r="G5" s="18" t="s">
        <v>115</v>
      </c>
      <c r="H5" s="18" t="s">
        <v>116</v>
      </c>
      <c r="I5" s="18" t="s">
        <v>11</v>
      </c>
      <c r="J5" s="18" t="s">
        <v>117</v>
      </c>
      <c r="L5" s="19" t="s">
        <v>118</v>
      </c>
      <c r="M5" s="20"/>
      <c r="N5" s="20"/>
      <c r="T5" s="15" t="s">
        <v>119</v>
      </c>
      <c r="U5" s="15" t="n">
        <f aca="false">AY6+AY7+AY8+AY9+AZ6+AZ7+AZ8+AZ9+SUM($AA$11:$AA$24)</f>
        <v>0</v>
      </c>
      <c r="V5" s="15" t="n">
        <f aca="false">BG6+BG7+BG8+BG9+BH6+BH7+BH8+BH9+SUM($AE$11:$AE$24)</f>
        <v>16</v>
      </c>
      <c r="AH5" s="15" t="s">
        <v>120</v>
      </c>
      <c r="AM5" s="15" t="s">
        <v>121</v>
      </c>
      <c r="AR5" s="15" t="s">
        <v>122</v>
      </c>
      <c r="AW5" s="15" t="s">
        <v>123</v>
      </c>
      <c r="AX5" s="15" t="s">
        <v>124</v>
      </c>
      <c r="AY5" s="15" t="s">
        <v>125</v>
      </c>
      <c r="AZ5" s="15" t="s">
        <v>126</v>
      </c>
      <c r="BA5" s="15" t="s">
        <v>127</v>
      </c>
      <c r="BB5" s="15" t="s">
        <v>128</v>
      </c>
      <c r="BC5" s="15" t="s">
        <v>129</v>
      </c>
      <c r="BD5" s="15" t="s">
        <v>130</v>
      </c>
      <c r="BE5" s="15" t="s">
        <v>131</v>
      </c>
      <c r="BF5" s="15" t="s">
        <v>132</v>
      </c>
      <c r="BG5" s="15" t="s">
        <v>133</v>
      </c>
      <c r="BH5" s="15" t="s">
        <v>134</v>
      </c>
      <c r="BI5" s="15" t="s">
        <v>135</v>
      </c>
      <c r="BJ5" s="15" t="s">
        <v>136</v>
      </c>
      <c r="BK5" s="15" t="s">
        <v>137</v>
      </c>
      <c r="BL5" s="15" t="s">
        <v>138</v>
      </c>
      <c r="BN5" s="15" t="s">
        <v>139</v>
      </c>
      <c r="BO5" s="15" t="s">
        <v>140</v>
      </c>
      <c r="BP5" s="15" t="s">
        <v>141</v>
      </c>
      <c r="BQ5" s="15" t="s">
        <v>128</v>
      </c>
      <c r="BR5" s="15" t="s">
        <v>142</v>
      </c>
      <c r="BT5" s="15" t="s">
        <v>143</v>
      </c>
      <c r="BU5" s="15" t="s">
        <v>144</v>
      </c>
      <c r="BV5" s="15" t="s">
        <v>145</v>
      </c>
      <c r="BW5" s="15" t="s">
        <v>136</v>
      </c>
      <c r="BX5" s="15" t="s">
        <v>146</v>
      </c>
      <c r="BZ5" s="15" t="n">
        <f aca="false">IFERROR(LARGE($AH$6:$AK$24,4),0)</f>
        <v>0</v>
      </c>
      <c r="CA5" s="15" t="n">
        <f aca="false">CA4+BZ5</f>
        <v>0</v>
      </c>
      <c r="CB5" s="15" t="n">
        <f aca="false">IFERROR(LARGE($AM$6:$AP$24,4),0)</f>
        <v>0</v>
      </c>
      <c r="CC5" s="15" t="n">
        <f aca="false">CC4+CB5</f>
        <v>0</v>
      </c>
    </row>
    <row r="6" customFormat="false" ht="39.75" hidden="false" customHeight="true" outlineLevel="0" collapsed="false">
      <c r="B6" s="21" t="s">
        <v>315</v>
      </c>
      <c r="C6" s="22"/>
      <c r="D6" s="23" t="s">
        <v>148</v>
      </c>
      <c r="E6" s="24"/>
      <c r="F6" s="24"/>
      <c r="G6" s="24"/>
      <c r="H6" s="24"/>
      <c r="I6" s="25"/>
      <c r="J6" s="24"/>
      <c r="L6" s="26" t="s">
        <v>149</v>
      </c>
      <c r="M6" s="27" t="str">
        <f aca="false">IF($U$4=0,"Noch keine Eingaben – trag deine Punkte in die gelben Felder ein.",IF($U$39=1,"Endergebnis (alle Felder ausgefüllt)","Prognose: "&amp;$U$38&amp;" Felder offen, gefüllt mit deinem Schnitt von "&amp;FIXED($U$2,1)&amp;" Punkten"))</f>
        <v>Noch keine Eingaben – trag deine Punkte in die gelben Felder ein.</v>
      </c>
      <c r="N6" s="27"/>
      <c r="T6" s="15" t="s">
        <v>150</v>
      </c>
      <c r="U6" s="15" t="n">
        <f aca="false">BC6+BC7+BC8+BC9</f>
        <v>16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IF(BN6="","",IF(ISNUMBER($J$6),INT(((2*BN6+$J$6)/3*$U$19)+0.5+0.000000001),BN6*$U$19))</f>
        <v/>
      </c>
      <c r="BP6" s="15" t="n">
        <f aca="false">IF(BO6="",0,IF(BO6&gt;=5*$U$19-0.000000001,1,0))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IF(BT6="","",IF(ISNUMBER($J$6),INT(((2*BT6+$J$6)/3*$U$19)+0.5+0.000000001),BT6*$U$19))</f>
        <v>35</v>
      </c>
      <c r="BV6" s="15" t="n">
        <f aca="false">IF(BU6="",0,IF(BU6&gt;=5*$U$19-0.000000001,1,0))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IFERROR(LARGE($AH$6:$AK$24,5),0)</f>
        <v>0</v>
      </c>
      <c r="CA6" s="15" t="n">
        <f aca="false">CA5+BZ6</f>
        <v>0</v>
      </c>
      <c r="CB6" s="15" t="n">
        <f aca="false">IFERROR(LARGE($AM$6:$AP$24,5),0)</f>
        <v>0</v>
      </c>
      <c r="CC6" s="15" t="n">
        <f aca="false">CC5+CB6</f>
        <v>0</v>
      </c>
    </row>
    <row r="7" customFormat="false" ht="37.5" hidden="false" customHeight="true" outlineLevel="0" collapsed="false">
      <c r="B7" s="21" t="s">
        <v>316</v>
      </c>
      <c r="C7" s="22"/>
      <c r="D7" s="23" t="s">
        <v>148</v>
      </c>
      <c r="E7" s="24"/>
      <c r="F7" s="24"/>
      <c r="G7" s="24"/>
      <c r="H7" s="24"/>
      <c r="I7" s="25"/>
      <c r="J7" s="24"/>
      <c r="L7" s="26" t="s">
        <v>152</v>
      </c>
      <c r="M7" s="28" t="str">
        <f aca="false">IF($U$4=0,"",$U$40)</f>
        <v/>
      </c>
      <c r="N7" s="29" t="s">
        <v>153</v>
      </c>
      <c r="T7" s="15" t="s">
        <v>154</v>
      </c>
      <c r="U7" s="15" t="n">
        <f aca="false">COUNT($AH$6:$AK$24)</f>
        <v>0</v>
      </c>
      <c r="V7" s="15" t="n">
        <f aca="false">COUNT($AM$6:$AP$24)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IF(BN7="","",IF(ISNUMBER($J$7),INT(((2*BN7+$J$7)/3*$U$19)+0.5+0.000000001),BN7*$U$19))</f>
        <v/>
      </c>
      <c r="BP7" s="15" t="n">
        <f aca="false">IF(BO7="",0,IF(BO7&gt;=5*$U$19-0.000000001,1,0))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IF(BT7="","",IF(ISNUMBER($J$7),INT(((2*BT7+$J$7)/3*$U$19)+0.5+0.000000001),BT7*$U$19))</f>
        <v>35</v>
      </c>
      <c r="BV7" s="15" t="n">
        <f aca="false">IF(BU7="",0,IF(BU7&gt;=5*$U$19-0.000000001,1,0))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IFERROR(LARGE($AH$6:$AK$24,6),0)</f>
        <v>0</v>
      </c>
      <c r="CA7" s="15" t="n">
        <f aca="false">CA6+BZ7</f>
        <v>0</v>
      </c>
      <c r="CB7" s="15" t="n">
        <f aca="false">IFERROR(LARGE($AM$6:$AP$24,6),0)</f>
        <v>0</v>
      </c>
      <c r="CC7" s="15" t="n">
        <f aca="false">CC6+CB7</f>
        <v>0</v>
      </c>
    </row>
    <row r="8" customFormat="false" ht="37.5" hidden="false" customHeight="true" outlineLevel="0" collapsed="false">
      <c r="B8" s="21" t="s">
        <v>317</v>
      </c>
      <c r="C8" s="22"/>
      <c r="D8" s="23" t="s">
        <v>148</v>
      </c>
      <c r="E8" s="24"/>
      <c r="F8" s="24"/>
      <c r="G8" s="24"/>
      <c r="H8" s="24"/>
      <c r="I8" s="25"/>
      <c r="J8" s="24"/>
      <c r="L8" s="26" t="s">
        <v>156</v>
      </c>
      <c r="M8" s="28" t="str">
        <f aca="false">IF($U$4=0,"",$U$63)</f>
        <v/>
      </c>
      <c r="N8" s="29" t="s">
        <v>157</v>
      </c>
      <c r="T8" s="15" t="s">
        <v>158</v>
      </c>
      <c r="U8" s="15" t="n">
        <f aca="false">COUNTIF($AH$6:$AK$24,"&gt;=5")</f>
        <v>0</v>
      </c>
      <c r="V8" s="15" t="n">
        <f aca="false">COUNTIF($AM$6:$AP$24,"&gt;=5")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IF(BN8="","",IF(ISNUMBER($J$8),INT(((2*BN8+$J$8)/3*$U$19)+0.5+0.000000001),BN8*$U$19))</f>
        <v/>
      </c>
      <c r="BP8" s="15" t="n">
        <f aca="false">IF(BO8="",0,IF(BO8&gt;=5*$U$19-0.000000001,1,0))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IF(BT8="","",IF(ISNUMBER($J$8),INT(((2*BT8+$J$8)/3*$U$19)+0.5+0.000000001),BT8*$U$19))</f>
        <v>35</v>
      </c>
      <c r="BV8" s="15" t="n">
        <f aca="false">IF(BU8="",0,IF(BU8&gt;=5*$U$19-0.000000001,1,0))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IFERROR(LARGE($AH$6:$AK$24,7),0)</f>
        <v>0</v>
      </c>
      <c r="CA8" s="15" t="n">
        <f aca="false">CA7+BZ8</f>
        <v>0</v>
      </c>
      <c r="CB8" s="15" t="n">
        <f aca="false">IFERROR(LARGE($AM$6:$AP$24,7),0)</f>
        <v>0</v>
      </c>
      <c r="CC8" s="15" t="n">
        <f aca="false">CC7+CB8</f>
        <v>0</v>
      </c>
    </row>
    <row r="9" customFormat="false" ht="37.5" hidden="false" customHeight="true" outlineLevel="0" collapsed="false">
      <c r="B9" s="21" t="s">
        <v>318</v>
      </c>
      <c r="C9" s="22"/>
      <c r="D9" s="23" t="s">
        <v>148</v>
      </c>
      <c r="E9" s="24"/>
      <c r="F9" s="24"/>
      <c r="G9" s="24"/>
      <c r="H9" s="24"/>
      <c r="I9" s="25"/>
      <c r="J9" s="30" t="s">
        <v>160</v>
      </c>
      <c r="L9" s="31" t="s">
        <v>161</v>
      </c>
      <c r="M9" s="32" t="str">
        <f aca="false">IF($U$4=0,"",$U$68)</f>
        <v/>
      </c>
      <c r="N9" s="29" t="s">
        <v>162</v>
      </c>
      <c r="T9" s="15" t="s">
        <v>163</v>
      </c>
      <c r="U9" s="15" t="n">
        <f aca="false">BA6+BA7</f>
        <v>0</v>
      </c>
      <c r="V9" s="15" t="n">
        <f aca="false">BI6+BI7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IF(BN9="","",BN9*$U$19)</f>
        <v/>
      </c>
      <c r="BP9" s="15" t="n">
        <f aca="false">IF(BO9="",0,IF(BO9&gt;=5*$U$19-0.000000001,1,0))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IF(BT9="","",BT9*$U$19)</f>
        <v>35</v>
      </c>
      <c r="BV9" s="15" t="n">
        <f aca="false">IF(BU9="",0,IF(BU9&gt;=5*$U$19-0.000000001,1,0))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IFERROR(LARGE($AH$6:$AK$24,8),0)</f>
        <v>0</v>
      </c>
      <c r="CA9" s="15" t="n">
        <f aca="false">CA8+BZ9</f>
        <v>0</v>
      </c>
      <c r="CB9" s="15" t="n">
        <f aca="false">IFERROR(LARGE($AM$6:$AP$24,8),0)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6" t="s">
        <v>167</v>
      </c>
      <c r="C10" s="6" t="s">
        <v>112</v>
      </c>
      <c r="D10" s="34" t="s">
        <v>168</v>
      </c>
      <c r="E10" s="35" t="s">
        <v>113</v>
      </c>
      <c r="F10" s="35" t="s">
        <v>114</v>
      </c>
      <c r="G10" s="35" t="s">
        <v>115</v>
      </c>
      <c r="H10" s="35" t="s">
        <v>116</v>
      </c>
      <c r="I10" s="20"/>
      <c r="J10" s="20"/>
      <c r="L10" s="31" t="s">
        <v>165</v>
      </c>
      <c r="M10" s="33" t="str">
        <f aca="false">IF($U$4=0,"",IF($U$70=1,$U$71/10,"nicht bestanden"))</f>
        <v/>
      </c>
      <c r="N10" s="29"/>
      <c r="T10" s="15" t="s">
        <v>166</v>
      </c>
      <c r="U10" s="15" t="n">
        <f aca="false">BA8+BA9+SUM($AB$11:$AB$24)</f>
        <v>0</v>
      </c>
      <c r="V10" s="15" t="n">
        <f aca="false">BI8+BI9+SUM($AF$11:$AF$24)</f>
        <v>0</v>
      </c>
      <c r="X10" s="15" t="s">
        <v>171</v>
      </c>
      <c r="Y10" s="15" t="s">
        <v>172</v>
      </c>
      <c r="Z10" s="15" t="s">
        <v>173</v>
      </c>
      <c r="AA10" s="15" t="s">
        <v>174</v>
      </c>
      <c r="AB10" s="15" t="s">
        <v>127</v>
      </c>
      <c r="AC10" s="15" t="s">
        <v>128</v>
      </c>
      <c r="AD10" s="15" t="s">
        <v>175</v>
      </c>
      <c r="AE10" s="15" t="s">
        <v>176</v>
      </c>
      <c r="AF10" s="15" t="s">
        <v>135</v>
      </c>
      <c r="BZ10" s="15" t="n">
        <f aca="false">IFERROR(LARGE($AH$6:$AK$24,9),0)</f>
        <v>0</v>
      </c>
      <c r="CA10" s="15" t="n">
        <f aca="false">CA9+BZ10</f>
        <v>0</v>
      </c>
      <c r="CB10" s="15" t="n">
        <f aca="false">IFERROR(LARGE($AM$6:$AP$24,9),0)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36" t="s">
        <v>177</v>
      </c>
      <c r="C11" s="37"/>
      <c r="D11" s="38"/>
      <c r="E11" s="24"/>
      <c r="F11" s="24"/>
      <c r="G11" s="24"/>
      <c r="H11" s="24"/>
      <c r="I11" s="39"/>
      <c r="J11" s="39"/>
      <c r="L11" s="26" t="s">
        <v>169</v>
      </c>
      <c r="M11" s="28" t="str">
        <f aca="false">IF($U$4=0,"",IF($U$72="","–",$U$72))</f>
        <v/>
      </c>
      <c r="N11" s="29" t="str">
        <f aca="false">IF($U$4=0,"",IF($U$71="","Punkte bis 300",IF($U$72="","Bestnote erreicht","Punkte → "&amp;FIXED(($U$71-1)/10,1))))</f>
        <v/>
      </c>
      <c r="T11" s="15" t="s">
        <v>170</v>
      </c>
      <c r="U11" s="15" t="n">
        <f aca="false">AW8+AW9+AX8+AX9+SUM($Z$11:$Z$24)</f>
        <v>0</v>
      </c>
      <c r="V11" s="15" t="n">
        <f aca="false">BE8+BE9+BF8+BF9+SUM($AD$11:$AD$24)</f>
        <v>56</v>
      </c>
      <c r="X11" s="15" t="n">
        <f aca="false">IF(OR(LEN(TRIM(C11))&gt;0,COUNT(E11:H11)&gt;0),1,0)</f>
        <v>0</v>
      </c>
      <c r="Y11" s="15" t="n">
        <f aca="false">IF(LEN(TRIM(D11))&gt;0,1,0)</f>
        <v>0</v>
      </c>
      <c r="Z11" s="15" t="n">
        <f aca="false">Y11*SUM(E11:H11)</f>
        <v>0</v>
      </c>
      <c r="AA11" s="15" t="n">
        <f aca="false">Y11*COUNT(E11:H11)</f>
        <v>0</v>
      </c>
      <c r="AB11" s="15" t="n">
        <f aca="false">Y11*COUNTIF(E11:H11,"&lt;5")</f>
        <v>0</v>
      </c>
      <c r="AC11" s="15" t="n">
        <f aca="false">Y11*COUNTIF(E11:H11,0)</f>
        <v>0</v>
      </c>
      <c r="AD11" s="15" t="n">
        <f aca="false">Y11*(SUM(E11:H11)+X11*$U$2*(4-COUNT(E11:H11)))</f>
        <v>0</v>
      </c>
      <c r="AE11" s="15" t="n">
        <f aca="false">Y11*(COUNT(E11:H11)+X11*(4-COUNT(E11:H11)))</f>
        <v>0</v>
      </c>
      <c r="AF11" s="15" t="n">
        <f aca="false">Y11*(COUNTIF(E11:H11,"&lt;5")+X11*IF($U$2&lt;5,1,0)*(4-COUNT(E11:H11)))</f>
        <v>0</v>
      </c>
      <c r="AH11" s="15" t="str">
        <f aca="false">IF(Y11=1,"",IF(ISNUMBER(E11),IF(E11=0,"",E11),""))</f>
        <v/>
      </c>
      <c r="AI11" s="15" t="str">
        <f aca="false">IF(Y11=1,"",IF(ISNUMBER(F11),IF(F11=0,"",F11),""))</f>
        <v/>
      </c>
      <c r="AJ11" s="15" t="str">
        <f aca="false">IF(Y11=1,"",IF(ISNUMBER(G11),IF(G11=0,"",G11),""))</f>
        <v/>
      </c>
      <c r="AK11" s="15" t="str">
        <f aca="false">IF(Y11=1,"",IF(ISNUMBER(H11),IF(H11=0,"",H11),""))</f>
        <v/>
      </c>
      <c r="AM11" s="15" t="str">
        <f aca="false">IF(Y11=1,"",IF(ISNUMBER(E11),IF(E11=0,"",E11),IF(X11=1,$U$2,"")))</f>
        <v/>
      </c>
      <c r="AN11" s="15" t="str">
        <f aca="false">IF(Y11=1,"",IF(ISNUMBER(F11),IF(F11=0,"",F11),IF(X11=1,$U$2,"")))</f>
        <v/>
      </c>
      <c r="AO11" s="15" t="str">
        <f aca="false">IF(Y11=1,"",IF(ISNUMBER(G11),IF(G11=0,"",G11),IF(X11=1,$U$2,"")))</f>
        <v/>
      </c>
      <c r="AP11" s="15" t="str">
        <f aca="false">IF(Y11=1,"",IF(ISNUMBER(H11),IF(H11=0,"",H11),IF(X11=1,$U$2,"")))</f>
        <v/>
      </c>
      <c r="AR11" s="15" t="n">
        <f aca="false">IF(Y11=1,IF(ISNUMBER(E11),1,0),IF(AH11="",0,IF(IF($U$39=1,COUNTIF($AH$6:$AK$24,"&gt;"&amp;AH11),COUNTIF($AM$6:$AP$24,"&gt;"&amp;AH11))+COUNTIF($AH$6:$AK$10,AH11)+1&lt;=$U$49,1,0)))</f>
        <v>0</v>
      </c>
      <c r="AS11" s="15" t="n">
        <f aca="false">IF(Y11=1,IF(ISNUMBER(F11),1,0),IF(AI11="",0,IF(IF($U$39=1,COUNTIF($AH$6:$AK$24,"&gt;"&amp;AI11),COUNTIF($AM$6:$AP$24,"&gt;"&amp;AI11))+COUNTIF($AH$6:$AK$10,AI11)+COUNTIF($AH11:AH11,AI11)+1&lt;=$U$49,1,0)))</f>
        <v>0</v>
      </c>
      <c r="AT11" s="15" t="n">
        <f aca="false">IF(Y11=1,IF(ISNUMBER(G11),1,0),IF(AJ11="",0,IF(IF($U$39=1,COUNTIF($AH$6:$AK$24,"&gt;"&amp;AJ11),COUNTIF($AM$6:$AP$24,"&gt;"&amp;AJ11))+COUNTIF($AH$6:$AK$10,AJ11)+COUNTIF($AH11:AI11,AJ11)+1&lt;=$U$49,1,0)))</f>
        <v>0</v>
      </c>
      <c r="AU11" s="15" t="n">
        <f aca="false">IF(Y11=1,IF(ISNUMBER(H11),1,0),IF(AK11="",0,IF(IF($U$39=1,COUNTIF($AH$6:$AK$24,"&gt;"&amp;AK11),COUNTIF($AM$6:$AP$24,"&gt;"&amp;AK11))+COUNTIF($AH$6:$AK$10,AK11)+COUNTIF($AH11:AJ11,AK11)+1&lt;=$U$49,1,0)))</f>
        <v>0</v>
      </c>
      <c r="BZ11" s="15" t="n">
        <f aca="false">IFERROR(LARGE($AH$6:$AK$24,10),0)</f>
        <v>0</v>
      </c>
      <c r="CA11" s="15" t="n">
        <f aca="false">CA10+BZ11</f>
        <v>0</v>
      </c>
      <c r="CB11" s="15" t="n">
        <f aca="false">IFERROR(LARGE($AM$6:$AP$24,10),0)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6" t="s">
        <v>180</v>
      </c>
      <c r="C12" s="37"/>
      <c r="D12" s="38"/>
      <c r="E12" s="24"/>
      <c r="F12" s="24"/>
      <c r="G12" s="24"/>
      <c r="H12" s="24"/>
      <c r="I12" s="39"/>
      <c r="J12" s="39"/>
      <c r="L12" s="26" t="s">
        <v>178</v>
      </c>
      <c r="M12" s="28" t="str">
        <f aca="false">IF(OR($U$4=0,$U$73=""),"",$U$73)</f>
        <v/>
      </c>
      <c r="N12" s="29" t="str">
        <f aca="false">IF(OR($U$4=0,$U$73=""),"","Punkte Luft")</f>
        <v/>
      </c>
      <c r="T12" s="15" t="s">
        <v>179</v>
      </c>
      <c r="U12" s="15" t="n">
        <f aca="false">BB6+BB7+BB8+BB9+SUM($AC$11:$AC$24)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IF(Y12=1,IF(ISNUMBER(E12),1,0),IF(AH12="",0,IF(IF($U$39=1,COUNTIF($AH$6:$AK$24,"&gt;"&amp;AH12),COUNTIF($AM$6:$AP$24,"&gt;"&amp;AH12))+COUNTIF($AH$6:$AK$11,AH12)+1&lt;=$U$49,1,0)))</f>
        <v>0</v>
      </c>
      <c r="AS12" s="15" t="n">
        <f aca="false">IF(Y12=1,IF(ISNUMBER(F12),1,0),IF(AI12="",0,IF(IF($U$39=1,COUNTIF($AH$6:$AK$24,"&gt;"&amp;AI12),COUNTIF($AM$6:$AP$24,"&gt;"&amp;AI12))+COUNTIF($AH$6:$AK$11,AI12)+COUNTIF($AH12:AH12,AI12)+1&lt;=$U$49,1,0)))</f>
        <v>0</v>
      </c>
      <c r="AT12" s="15" t="n">
        <f aca="false">IF(Y12=1,IF(ISNUMBER(G12),1,0),IF(AJ12="",0,IF(IF($U$39=1,COUNTIF($AH$6:$AK$24,"&gt;"&amp;AJ12),COUNTIF($AM$6:$AP$24,"&gt;"&amp;AJ12))+COUNTIF($AH$6:$AK$11,AJ12)+COUNTIF($AH12:AI12,AJ12)+1&lt;=$U$49,1,0)))</f>
        <v>0</v>
      </c>
      <c r="AU12" s="15" t="n">
        <f aca="false">IF(Y12=1,IF(ISNUMBER(H12),1,0),IF(AK12="",0,IF(IF($U$39=1,COUNTIF($AH$6:$AK$24,"&gt;"&amp;AK12),COUNTIF($AM$6:$AP$24,"&gt;"&amp;AK12))+COUNTIF($AH$6:$AK$11,AK12)+COUNTIF($AH12:AJ12,AK12)+1&lt;=$U$49,1,0)))</f>
        <v>0</v>
      </c>
      <c r="BZ12" s="15" t="n">
        <f aca="false">IFERROR(LARGE($AH$6:$AK$24,11),0)</f>
        <v>0</v>
      </c>
      <c r="CA12" s="15" t="n">
        <f aca="false">CA11+BZ12</f>
        <v>0</v>
      </c>
      <c r="CB12" s="15" t="n">
        <f aca="false">IFERROR(LARGE($AM$6:$AP$24,11),0)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183</v>
      </c>
      <c r="C13" s="37"/>
      <c r="D13" s="38"/>
      <c r="E13" s="24"/>
      <c r="F13" s="24"/>
      <c r="G13" s="24"/>
      <c r="H13" s="24"/>
      <c r="I13" s="39"/>
      <c r="J13" s="39"/>
      <c r="L13" s="26" t="s">
        <v>181</v>
      </c>
      <c r="M13" s="28" t="str">
        <f aca="false">IF($U$4=0,"",$U$41)</f>
        <v/>
      </c>
      <c r="N13" s="29" t="str">
        <f aca="false">IF($U$4=0,"","Summe der eingebrachten Punkte")</f>
        <v/>
      </c>
      <c r="T13" s="15" t="s">
        <v>291</v>
      </c>
      <c r="U13" s="15" t="str">
        <f aca="false">IF(ISNUMBER($E$27),$E$27,"")</f>
        <v/>
      </c>
      <c r="V13" s="15" t="n">
        <f aca="false">IF(ISNUMBER($E$27),$E$27,$U$2*15/15)</f>
        <v>7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IF(Y13=1,IF(ISNUMBER(E13),1,0),IF(AH13="",0,IF(IF($U$39=1,COUNTIF($AH$6:$AK$24,"&gt;"&amp;AH13),COUNTIF($AM$6:$AP$24,"&gt;"&amp;AH13))+COUNTIF($AH$6:$AK$12,AH13)+1&lt;=$U$49,1,0)))</f>
        <v>0</v>
      </c>
      <c r="AS13" s="15" t="n">
        <f aca="false">IF(Y13=1,IF(ISNUMBER(F13),1,0),IF(AI13="",0,IF(IF($U$39=1,COUNTIF($AH$6:$AK$24,"&gt;"&amp;AI13),COUNTIF($AM$6:$AP$24,"&gt;"&amp;AI13))+COUNTIF($AH$6:$AK$12,AI13)+COUNTIF($AH13:AH13,AI13)+1&lt;=$U$49,1,0)))</f>
        <v>0</v>
      </c>
      <c r="AT13" s="15" t="n">
        <f aca="false">IF(Y13=1,IF(ISNUMBER(G13),1,0),IF(AJ13="",0,IF(IF($U$39=1,COUNTIF($AH$6:$AK$24,"&gt;"&amp;AJ13),COUNTIF($AM$6:$AP$24,"&gt;"&amp;AJ13))+COUNTIF($AH$6:$AK$12,AJ13)+COUNTIF($AH13:AI13,AJ13)+1&lt;=$U$49,1,0)))</f>
        <v>0</v>
      </c>
      <c r="AU13" s="15" t="n">
        <f aca="false">IF(Y13=1,IF(ISNUMBER(H13),1,0),IF(AK13="",0,IF(IF($U$39=1,COUNTIF($AH$6:$AK$24,"&gt;"&amp;AK13),COUNTIF($AM$6:$AP$24,"&gt;"&amp;AK13))+COUNTIF($AH$6:$AK$12,AK13)+COUNTIF($AH13:AJ13,AK13)+1&lt;=$U$49,1,0)))</f>
        <v>0</v>
      </c>
      <c r="BZ13" s="15" t="n">
        <f aca="false">IFERROR(LARGE($AH$6:$AK$24,12),0)</f>
        <v>0</v>
      </c>
      <c r="CA13" s="15" t="n">
        <f aca="false">CA12+BZ13</f>
        <v>0</v>
      </c>
      <c r="CB13" s="15" t="n">
        <f aca="false">IFERROR(LARGE($AM$6:$AP$24,12),0)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186</v>
      </c>
      <c r="C14" s="37"/>
      <c r="D14" s="38"/>
      <c r="E14" s="24"/>
      <c r="F14" s="24"/>
      <c r="G14" s="24"/>
      <c r="H14" s="24"/>
      <c r="I14" s="39"/>
      <c r="J14" s="39"/>
      <c r="L14" s="26" t="s">
        <v>184</v>
      </c>
      <c r="M14" s="28" t="str">
        <f aca="false">IF($U$4=0,"",$U$42)</f>
        <v/>
      </c>
      <c r="N14" s="29" t="str">
        <f aca="false">IF($U$4=0,"","erlaubt: höchstens "&amp;$U$43)</f>
        <v/>
      </c>
      <c r="T14" s="15" t="s">
        <v>292</v>
      </c>
      <c r="U14" s="15" t="n">
        <f aca="false">IF(ISNUMBER($U$13),1,0)</f>
        <v>0</v>
      </c>
      <c r="V14" s="15" t="n">
        <f aca="false">IF(ISNUMBER($V$13),1,0)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IF(Y14=1,IF(ISNUMBER(E14),1,0),IF(AH14="",0,IF(IF($U$39=1,COUNTIF($AH$6:$AK$24,"&gt;"&amp;AH14),COUNTIF($AM$6:$AP$24,"&gt;"&amp;AH14))+COUNTIF($AH$6:$AK$13,AH14)+1&lt;=$U$49,1,0)))</f>
        <v>0</v>
      </c>
      <c r="AS14" s="15" t="n">
        <f aca="false">IF(Y14=1,IF(ISNUMBER(F14),1,0),IF(AI14="",0,IF(IF($U$39=1,COUNTIF($AH$6:$AK$24,"&gt;"&amp;AI14),COUNTIF($AM$6:$AP$24,"&gt;"&amp;AI14))+COUNTIF($AH$6:$AK$13,AI14)+COUNTIF($AH14:AH14,AI14)+1&lt;=$U$49,1,0)))</f>
        <v>0</v>
      </c>
      <c r="AT14" s="15" t="n">
        <f aca="false">IF(Y14=1,IF(ISNUMBER(G14),1,0),IF(AJ14="",0,IF(IF($U$39=1,COUNTIF($AH$6:$AK$24,"&gt;"&amp;AJ14),COUNTIF($AM$6:$AP$24,"&gt;"&amp;AJ14))+COUNTIF($AH$6:$AK$13,AJ14)+COUNTIF($AH14:AI14,AJ14)+1&lt;=$U$49,1,0)))</f>
        <v>0</v>
      </c>
      <c r="AU14" s="15" t="n">
        <f aca="false">IF(Y14=1,IF(ISNUMBER(H14),1,0),IF(AK14="",0,IF(IF($U$39=1,COUNTIF($AH$6:$AK$24,"&gt;"&amp;AK14),COUNTIF($AM$6:$AP$24,"&gt;"&amp;AK14))+COUNTIF($AH$6:$AK$13,AK14)+COUNTIF($AH14:AJ14,AK14)+1&lt;=$U$49,1,0)))</f>
        <v>0</v>
      </c>
      <c r="BZ14" s="15" t="n">
        <f aca="false">IFERROR(LARGE($AH$6:$AK$24,13),0)</f>
        <v>0</v>
      </c>
      <c r="CA14" s="15" t="n">
        <f aca="false">CA13+BZ14</f>
        <v>0</v>
      </c>
      <c r="CB14" s="15" t="n">
        <f aca="false">IFERROR(LARGE($AM$6:$AP$24,13),0)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190</v>
      </c>
      <c r="C15" s="37"/>
      <c r="D15" s="38"/>
      <c r="E15" s="24"/>
      <c r="F15" s="24"/>
      <c r="G15" s="24"/>
      <c r="H15" s="24"/>
      <c r="I15" s="39"/>
      <c r="J15" s="39"/>
      <c r="L15" s="26" t="s">
        <v>187</v>
      </c>
      <c r="M15" s="28" t="str">
        <f aca="false">IF($U$4=0,"","+"&amp;$U$19)</f>
        <v/>
      </c>
      <c r="N15" s="29" t="s">
        <v>188</v>
      </c>
      <c r="T15" s="15" t="s">
        <v>293</v>
      </c>
      <c r="U15" s="15" t="n">
        <f aca="false">1-$U$14</f>
        <v>1</v>
      </c>
      <c r="V15" s="15" t="n">
        <f aca="false">0</f>
        <v>0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IF(Y15=1,IF(ISNUMBER(E15),1,0),IF(AH15="",0,IF(IF($U$39=1,COUNTIF($AH$6:$AK$24,"&gt;"&amp;AH15),COUNTIF($AM$6:$AP$24,"&gt;"&amp;AH15))+COUNTIF($AH$6:$AK$14,AH15)+1&lt;=$U$49,1,0)))</f>
        <v>0</v>
      </c>
      <c r="AS15" s="15" t="n">
        <f aca="false">IF(Y15=1,IF(ISNUMBER(F15),1,0),IF(AI15="",0,IF(IF($U$39=1,COUNTIF($AH$6:$AK$24,"&gt;"&amp;AI15),COUNTIF($AM$6:$AP$24,"&gt;"&amp;AI15))+COUNTIF($AH$6:$AK$14,AI15)+COUNTIF($AH15:AH15,AI15)+1&lt;=$U$49,1,0)))</f>
        <v>0</v>
      </c>
      <c r="AT15" s="15" t="n">
        <f aca="false">IF(Y15=1,IF(ISNUMBER(G15),1,0),IF(AJ15="",0,IF(IF($U$39=1,COUNTIF($AH$6:$AK$24,"&gt;"&amp;AJ15),COUNTIF($AM$6:$AP$24,"&gt;"&amp;AJ15))+COUNTIF($AH$6:$AK$14,AJ15)+COUNTIF($AH15:AI15,AJ15)+1&lt;=$U$49,1,0)))</f>
        <v>0</v>
      </c>
      <c r="AU15" s="15" t="n">
        <f aca="false">IF(Y15=1,IF(ISNUMBER(H15),1,0),IF(AK15="",0,IF(IF($U$39=1,COUNTIF($AH$6:$AK$24,"&gt;"&amp;AK15),COUNTIF($AM$6:$AP$24,"&gt;"&amp;AK15))+COUNTIF($AH$6:$AK$14,AK15)+COUNTIF($AH15:AJ15,AK15)+1&lt;=$U$49,1,0)))</f>
        <v>0</v>
      </c>
      <c r="BZ15" s="15" t="n">
        <f aca="false">IFERROR(LARGE($AH$6:$AK$24,14),0)</f>
        <v>0</v>
      </c>
      <c r="CA15" s="15" t="n">
        <f aca="false">CA14+BZ15</f>
        <v>0</v>
      </c>
      <c r="CB15" s="15" t="n">
        <f aca="false">IFERROR(LARGE($AM$6:$AP$24,14),0)</f>
        <v>0</v>
      </c>
      <c r="CC15" s="15" t="n">
        <f aca="false">CC14+CB15</f>
        <v>0</v>
      </c>
    </row>
    <row r="16" customFormat="false" ht="22.35" hidden="false" customHeight="false" outlineLevel="0" collapsed="false">
      <c r="B16" s="36" t="s">
        <v>194</v>
      </c>
      <c r="C16" s="37"/>
      <c r="D16" s="38"/>
      <c r="E16" s="24"/>
      <c r="F16" s="24"/>
      <c r="G16" s="24"/>
      <c r="H16" s="24"/>
      <c r="I16" s="39"/>
      <c r="J16" s="39"/>
      <c r="L16" s="26" t="s">
        <v>191</v>
      </c>
      <c r="M16" s="28" t="str">
        <f aca="false">IF($U$4=0,"","+1")</f>
        <v/>
      </c>
      <c r="N16" s="29" t="s">
        <v>294</v>
      </c>
      <c r="T16" s="15" t="s">
        <v>182</v>
      </c>
      <c r="U16" s="15" t="n">
        <f aca="false">MATCH(MAX($DH$3:$DH$3),$DH$3:$DH$3,0)</f>
        <v>1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IF(Y16=1,IF(ISNUMBER(E16),1,0),IF(AH16="",0,IF(IF($U$39=1,COUNTIF($AH$6:$AK$24,"&gt;"&amp;AH16),COUNTIF($AM$6:$AP$24,"&gt;"&amp;AH16))+COUNTIF($AH$6:$AK$15,AH16)+1&lt;=$U$49,1,0)))</f>
        <v>0</v>
      </c>
      <c r="AS16" s="15" t="n">
        <f aca="false">IF(Y16=1,IF(ISNUMBER(F16),1,0),IF(AI16="",0,IF(IF($U$39=1,COUNTIF($AH$6:$AK$24,"&gt;"&amp;AI16),COUNTIF($AM$6:$AP$24,"&gt;"&amp;AI16))+COUNTIF($AH$6:$AK$15,AI16)+COUNTIF($AH16:AH16,AI16)+1&lt;=$U$49,1,0)))</f>
        <v>0</v>
      </c>
      <c r="AT16" s="15" t="n">
        <f aca="false">IF(Y16=1,IF(ISNUMBER(G16),1,0),IF(AJ16="",0,IF(IF($U$39=1,COUNTIF($AH$6:$AK$24,"&gt;"&amp;AJ16),COUNTIF($AM$6:$AP$24,"&gt;"&amp;AJ16))+COUNTIF($AH$6:$AK$15,AJ16)+COUNTIF($AH16:AI16,AJ16)+1&lt;=$U$49,1,0)))</f>
        <v>0</v>
      </c>
      <c r="AU16" s="15" t="n">
        <f aca="false">IF(Y16=1,IF(ISNUMBER(H16),1,0),IF(AK16="",0,IF(IF($U$39=1,COUNTIF($AH$6:$AK$24,"&gt;"&amp;AK16),COUNTIF($AM$6:$AP$24,"&gt;"&amp;AK16))+COUNTIF($AH$6:$AK$15,AK16)+COUNTIF($AH16:AJ16,AK16)+1&lt;=$U$49,1,0)))</f>
        <v>0</v>
      </c>
      <c r="BZ16" s="15" t="n">
        <f aca="false">IFERROR(LARGE($AH$6:$AK$24,15),0)</f>
        <v>0</v>
      </c>
      <c r="CA16" s="15" t="n">
        <f aca="false">CA15+BZ16</f>
        <v>0</v>
      </c>
      <c r="CB16" s="15" t="n">
        <f aca="false">IFERROR(LARGE($AM$6:$AP$24,15),0)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196</v>
      </c>
      <c r="C17" s="37"/>
      <c r="D17" s="38"/>
      <c r="E17" s="24"/>
      <c r="F17" s="24"/>
      <c r="G17" s="24"/>
      <c r="H17" s="24"/>
      <c r="I17" s="39"/>
      <c r="J17" s="39"/>
      <c r="T17" s="15" t="s">
        <v>185</v>
      </c>
      <c r="U17" s="15" t="n">
        <f aca="false">MATCH(MAX($DH$23:$DH$23),$DH$23:$DH$23,0)</f>
        <v>1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IF(Y17=1,IF(ISNUMBER(E17),1,0),IF(AH17="",0,IF(IF($U$39=1,COUNTIF($AH$6:$AK$24,"&gt;"&amp;AH17),COUNTIF($AM$6:$AP$24,"&gt;"&amp;AH17))+COUNTIF($AH$6:$AK$16,AH17)+1&lt;=$U$49,1,0)))</f>
        <v>0</v>
      </c>
      <c r="AS17" s="15" t="n">
        <f aca="false">IF(Y17=1,IF(ISNUMBER(F17),1,0),IF(AI17="",0,IF(IF($U$39=1,COUNTIF($AH$6:$AK$24,"&gt;"&amp;AI17),COUNTIF($AM$6:$AP$24,"&gt;"&amp;AI17))+COUNTIF($AH$6:$AK$16,AI17)+COUNTIF($AH17:AH17,AI17)+1&lt;=$U$49,1,0)))</f>
        <v>0</v>
      </c>
      <c r="AT17" s="15" t="n">
        <f aca="false">IF(Y17=1,IF(ISNUMBER(G17),1,0),IF(AJ17="",0,IF(IF($U$39=1,COUNTIF($AH$6:$AK$24,"&gt;"&amp;AJ17),COUNTIF($AM$6:$AP$24,"&gt;"&amp;AJ17))+COUNTIF($AH$6:$AK$16,AJ17)+COUNTIF($AH17:AI17,AJ17)+1&lt;=$U$49,1,0)))</f>
        <v>0</v>
      </c>
      <c r="AU17" s="15" t="n">
        <f aca="false">IF(Y17=1,IF(ISNUMBER(H17),1,0),IF(AK17="",0,IF(IF($U$39=1,COUNTIF($AH$6:$AK$24,"&gt;"&amp;AK17),COUNTIF($AM$6:$AP$24,"&gt;"&amp;AK17))+COUNTIF($AH$6:$AK$16,AK17)+COUNTIF($AH17:AJ17,AK17)+1&lt;=$U$49,1,0)))</f>
        <v>0</v>
      </c>
      <c r="BZ17" s="15" t="n">
        <f aca="false">IFERROR(LARGE($AH$6:$AK$24,16),0)</f>
        <v>0</v>
      </c>
      <c r="CA17" s="15" t="n">
        <f aca="false">CA16+BZ17</f>
        <v>0</v>
      </c>
      <c r="CB17" s="15" t="n">
        <f aca="false">IFERROR(LARGE($AM$6:$AP$24,16),0)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200</v>
      </c>
      <c r="C18" s="37"/>
      <c r="D18" s="38"/>
      <c r="E18" s="24"/>
      <c r="F18" s="24"/>
      <c r="G18" s="24"/>
      <c r="H18" s="24"/>
      <c r="I18" s="39"/>
      <c r="J18" s="39"/>
      <c r="L18" s="40" t="s">
        <v>197</v>
      </c>
      <c r="M18" s="41" t="s">
        <v>149</v>
      </c>
      <c r="N18" s="6" t="s">
        <v>198</v>
      </c>
      <c r="T18" s="15" t="s">
        <v>337</v>
      </c>
      <c r="U18" s="15" t="n">
        <f aca="false">IF(ISNUMBER($I$26),1,0)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IF(Y18=1,IF(ISNUMBER(E18),1,0),IF(AH18="",0,IF(IF($U$39=1,COUNTIF($AH$6:$AK$24,"&gt;"&amp;AH18),COUNTIF($AM$6:$AP$24,"&gt;"&amp;AH18))+COUNTIF($AH$6:$AK$17,AH18)+1&lt;=$U$49,1,0)))</f>
        <v>0</v>
      </c>
      <c r="AS18" s="15" t="n">
        <f aca="false">IF(Y18=1,IF(ISNUMBER(F18),1,0),IF(AI18="",0,IF(IF($U$39=1,COUNTIF($AH$6:$AK$24,"&gt;"&amp;AI18),COUNTIF($AM$6:$AP$24,"&gt;"&amp;AI18))+COUNTIF($AH$6:$AK$17,AI18)+COUNTIF($AH18:AH18,AI18)+1&lt;=$U$49,1,0)))</f>
        <v>0</v>
      </c>
      <c r="AT18" s="15" t="n">
        <f aca="false">IF(Y18=1,IF(ISNUMBER(G18),1,0),IF(AJ18="",0,IF(IF($U$39=1,COUNTIF($AH$6:$AK$24,"&gt;"&amp;AJ18),COUNTIF($AM$6:$AP$24,"&gt;"&amp;AJ18))+COUNTIF($AH$6:$AK$17,AJ18)+COUNTIF($AH18:AI18,AJ18)+1&lt;=$U$49,1,0)))</f>
        <v>0</v>
      </c>
      <c r="AU18" s="15" t="n">
        <f aca="false">IF(Y18=1,IF(ISNUMBER(H18),1,0),IF(AK18="",0,IF(IF($U$39=1,COUNTIF($AH$6:$AK$24,"&gt;"&amp;AK18),COUNTIF($AM$6:$AP$24,"&gt;"&amp;AK18))+COUNTIF($AH$6:$AK$17,AK18)+COUNTIF($AH18:AJ18,AK18)+1&lt;=$U$49,1,0)))</f>
        <v>0</v>
      </c>
      <c r="BZ18" s="15" t="n">
        <f aca="false">IFERROR(LARGE($AH$6:$AK$24,17),0)</f>
        <v>0</v>
      </c>
      <c r="CA18" s="15" t="n">
        <f aca="false">CA17+BZ18</f>
        <v>0</v>
      </c>
      <c r="CB18" s="15" t="n">
        <f aca="false">IFERROR(LARGE($AM$6:$AP$24,17),0)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203</v>
      </c>
      <c r="C19" s="37"/>
      <c r="D19" s="38"/>
      <c r="E19" s="24"/>
      <c r="F19" s="24"/>
      <c r="G19" s="24"/>
      <c r="H19" s="24"/>
      <c r="I19" s="39"/>
      <c r="J19" s="39"/>
      <c r="L19" s="42" t="s">
        <v>201</v>
      </c>
      <c r="M19" s="43" t="str">
        <f aca="false">IF($U$4=0,"",IF($U$51=1,"✓ erfüllt","✗ nicht erfüllt"))</f>
        <v/>
      </c>
      <c r="N19" s="36" t="str">
        <f aca="false">IF($U$4=0,"",$U$40&amp;" Punkte")</f>
        <v/>
      </c>
      <c r="T19" s="15" t="s">
        <v>189</v>
      </c>
      <c r="U19" s="15" t="n">
        <f aca="false">IF($U$18=1,4,5)</f>
        <v>5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IF(Y19=1,IF(ISNUMBER(E19),1,0),IF(AH19="",0,IF(IF($U$39=1,COUNTIF($AH$6:$AK$24,"&gt;"&amp;AH19),COUNTIF($AM$6:$AP$24,"&gt;"&amp;AH19))+COUNTIF($AH$6:$AK$18,AH19)+1&lt;=$U$49,1,0)))</f>
        <v>0</v>
      </c>
      <c r="AS19" s="15" t="n">
        <f aca="false">IF(Y19=1,IF(ISNUMBER(F19),1,0),IF(AI19="",0,IF(IF($U$39=1,COUNTIF($AH$6:$AK$24,"&gt;"&amp;AI19),COUNTIF($AM$6:$AP$24,"&gt;"&amp;AI19))+COUNTIF($AH$6:$AK$18,AI19)+COUNTIF($AH19:AH19,AI19)+1&lt;=$U$49,1,0)))</f>
        <v>0</v>
      </c>
      <c r="AT19" s="15" t="n">
        <f aca="false">IF(Y19=1,IF(ISNUMBER(G19),1,0),IF(AJ19="",0,IF(IF($U$39=1,COUNTIF($AH$6:$AK$24,"&gt;"&amp;AJ19),COUNTIF($AM$6:$AP$24,"&gt;"&amp;AJ19))+COUNTIF($AH$6:$AK$18,AJ19)+COUNTIF($AH19:AI19,AJ19)+1&lt;=$U$49,1,0)))</f>
        <v>0</v>
      </c>
      <c r="AU19" s="15" t="n">
        <f aca="false">IF(Y19=1,IF(ISNUMBER(H19),1,0),IF(AK19="",0,IF(IF($U$39=1,COUNTIF($AH$6:$AK$24,"&gt;"&amp;AK19),COUNTIF($AM$6:$AP$24,"&gt;"&amp;AK19))+COUNTIF($AH$6:$AK$18,AK19)+COUNTIF($AH19:AJ19,AK19)+1&lt;=$U$49,1,0)))</f>
        <v>0</v>
      </c>
      <c r="BZ19" s="15" t="n">
        <f aca="false">IFERROR(LARGE($AH$6:$AK$24,18),0)</f>
        <v>0</v>
      </c>
      <c r="CA19" s="15" t="n">
        <f aca="false">CA18+BZ19</f>
        <v>0</v>
      </c>
      <c r="CB19" s="15" t="n">
        <f aca="false">IFERROR(LARGE($AM$6:$AP$24,18),0)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205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"&amp;$U$43&amp;" Unterkurse (unter 5 Punkten)"</f>
        <v>Höchstens 6 Unterkurse (unter 5 Punkten)</v>
      </c>
      <c r="M20" s="43" t="str">
        <f aca="false">IF($U$4=0,"",IF($U$52=1,"✓ erfüllt","✗ nicht erfüllt"))</f>
        <v/>
      </c>
      <c r="N20" s="36" t="str">
        <f aca="false">IF($U$4=0,"",$U$42&amp;" Unterkurse")</f>
        <v/>
      </c>
      <c r="T20" s="15" t="s">
        <v>193</v>
      </c>
      <c r="U20" s="15" t="n">
        <f aca="false">MIN(300,INT((SUM(BO6,BO7,BO8,BO9,BO26))+0.5+0.000000001))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IF(Y20=1,IF(ISNUMBER(E20),1,0),IF(AH20="",0,IF(IF($U$39=1,COUNTIF($AH$6:$AK$24,"&gt;"&amp;AH20),COUNTIF($AM$6:$AP$24,"&gt;"&amp;AH20))+COUNTIF($AH$6:$AK$19,AH20)+1&lt;=$U$49,1,0)))</f>
        <v>0</v>
      </c>
      <c r="AS20" s="15" t="n">
        <f aca="false">IF(Y20=1,IF(ISNUMBER(F20),1,0),IF(AI20="",0,IF(IF($U$39=1,COUNTIF($AH$6:$AK$24,"&gt;"&amp;AI20),COUNTIF($AM$6:$AP$24,"&gt;"&amp;AI20))+COUNTIF($AH$6:$AK$19,AI20)+COUNTIF($AH20:AH20,AI20)+1&lt;=$U$49,1,0)))</f>
        <v>0</v>
      </c>
      <c r="AT20" s="15" t="n">
        <f aca="false">IF(Y20=1,IF(ISNUMBER(G20),1,0),IF(AJ20="",0,IF(IF($U$39=1,COUNTIF($AH$6:$AK$24,"&gt;"&amp;AJ20),COUNTIF($AM$6:$AP$24,"&gt;"&amp;AJ20))+COUNTIF($AH$6:$AK$19,AJ20)+COUNTIF($AH20:AI20,AJ20)+1&lt;=$U$49,1,0)))</f>
        <v>0</v>
      </c>
      <c r="AU20" s="15" t="n">
        <f aca="false">IF(Y20=1,IF(ISNUMBER(H20),1,0),IF(AK20="",0,IF(IF($U$39=1,COUNTIF($AH$6:$AK$24,"&gt;"&amp;AK20),COUNTIF($AM$6:$AP$24,"&gt;"&amp;AK20))+COUNTIF($AH$6:$AK$19,AK20)+COUNTIF($AH20:AJ20,AK20)+1&lt;=$U$49,1,0)))</f>
        <v>0</v>
      </c>
      <c r="BZ20" s="15" t="n">
        <f aca="false">IFERROR(LARGE($AH$6:$AK$24,19),0)</f>
        <v>0</v>
      </c>
      <c r="CA20" s="15" t="n">
        <f aca="false">CA19+BZ20</f>
        <v>0</v>
      </c>
      <c r="CB20" s="15" t="n">
        <f aca="false">IFERROR(LARGE($AM$6:$AP$24,19),0)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208</v>
      </c>
      <c r="C21" s="37"/>
      <c r="D21" s="38"/>
      <c r="E21" s="24"/>
      <c r="F21" s="24"/>
      <c r="G21" s="24"/>
      <c r="H21" s="24"/>
      <c r="I21" s="39"/>
      <c r="J21" s="39"/>
      <c r="L21" s="42" t="s">
        <v>321</v>
      </c>
      <c r="M21" s="43" t="str">
        <f aca="false">IF($U$4=0,"",IF($U$53=1,"✓ erfüllt","✗ nicht erfüllt"))</f>
        <v/>
      </c>
      <c r="N21" s="36" t="str">
        <f aca="false">IF($U$4=0,"",$U$62&amp;" Unterkurse")</f>
        <v/>
      </c>
      <c r="T21" s="15" t="s">
        <v>195</v>
      </c>
      <c r="U21" s="15" t="n">
        <f aca="false">SUM(BP6,BP7,BP8,BP9,BP26)</f>
        <v>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IF(Y21=1,IF(ISNUMBER(E21),1,0),IF(AH21="",0,IF(IF($U$39=1,COUNTIF($AH$6:$AK$24,"&gt;"&amp;AH21),COUNTIF($AM$6:$AP$24,"&gt;"&amp;AH21))+COUNTIF($AH$6:$AK$20,AH21)+1&lt;=$U$49,1,0)))</f>
        <v>0</v>
      </c>
      <c r="AS21" s="15" t="n">
        <f aca="false">IF(Y21=1,IF(ISNUMBER(F21),1,0),IF(AI21="",0,IF(IF($U$39=1,COUNTIF($AH$6:$AK$24,"&gt;"&amp;AI21),COUNTIF($AM$6:$AP$24,"&gt;"&amp;AI21))+COUNTIF($AH$6:$AK$20,AI21)+COUNTIF($AH21:AH21,AI21)+1&lt;=$U$49,1,0)))</f>
        <v>0</v>
      </c>
      <c r="AT21" s="15" t="n">
        <f aca="false">IF(Y21=1,IF(ISNUMBER(G21),1,0),IF(AJ21="",0,IF(IF($U$39=1,COUNTIF($AH$6:$AK$24,"&gt;"&amp;AJ21),COUNTIF($AM$6:$AP$24,"&gt;"&amp;AJ21))+COUNTIF($AH$6:$AK$20,AJ21)+COUNTIF($AH21:AI21,AJ21)+1&lt;=$U$49,1,0)))</f>
        <v>0</v>
      </c>
      <c r="AU21" s="15" t="n">
        <f aca="false">IF(Y21=1,IF(ISNUMBER(H21),1,0),IF(AK21="",0,IF(IF($U$39=1,COUNTIF($AH$6:$AK$24,"&gt;"&amp;AK21),COUNTIF($AM$6:$AP$24,"&gt;"&amp;AK21))+COUNTIF($AH$6:$AK$20,AK21)+COUNTIF($AH21:AJ21,AK21)+1&lt;=$U$49,1,0)))</f>
        <v>0</v>
      </c>
      <c r="BZ21" s="15" t="n">
        <f aca="false">IFERROR(LARGE($AH$6:$AK$24,20),0)</f>
        <v>0</v>
      </c>
      <c r="CA21" s="15" t="n">
        <f aca="false">CA20+BZ21</f>
        <v>0</v>
      </c>
      <c r="CB21" s="15" t="n">
        <f aca="false">IFERROR(LARGE($AM$6:$AP$24,20),0)</f>
        <v>0</v>
      </c>
      <c r="CC21" s="15" t="n">
        <f aca="false">CC20+CB21</f>
        <v>0</v>
      </c>
    </row>
    <row r="22" customFormat="false" ht="15" hidden="false" customHeight="false" outlineLevel="0" collapsed="false">
      <c r="B22" s="36" t="s">
        <v>211</v>
      </c>
      <c r="C22" s="37"/>
      <c r="D22" s="38"/>
      <c r="E22" s="24"/>
      <c r="F22" s="24"/>
      <c r="G22" s="24"/>
      <c r="H22" s="24"/>
      <c r="I22" s="39"/>
      <c r="J22" s="39"/>
      <c r="L22" s="42" t="s">
        <v>209</v>
      </c>
      <c r="M22" s="43" t="str">
        <f aca="false">IF($U$4=0,"",IF($U$57=1,"✓ erfüllt","✗ nicht erfüllt"))</f>
        <v/>
      </c>
      <c r="N22" s="36" t="str">
        <f aca="false">IF($U$4=0,"",$U$12&amp;" mit 0 Punkten")</f>
        <v/>
      </c>
      <c r="T22" s="15" t="s">
        <v>199</v>
      </c>
      <c r="U22" s="15" t="n">
        <f aca="false">BP6+BP7</f>
        <v>0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IF(Y22=1,IF(ISNUMBER(E22),1,0),IF(AH22="",0,IF(IF($U$39=1,COUNTIF($AH$6:$AK$24,"&gt;"&amp;AH22),COUNTIF($AM$6:$AP$24,"&gt;"&amp;AH22))+COUNTIF($AH$6:$AK$21,AH22)+1&lt;=$U$49,1,0)))</f>
        <v>0</v>
      </c>
      <c r="AS22" s="15" t="n">
        <f aca="false">IF(Y22=1,IF(ISNUMBER(F22),1,0),IF(AI22="",0,IF(IF($U$39=1,COUNTIF($AH$6:$AK$24,"&gt;"&amp;AI22),COUNTIF($AM$6:$AP$24,"&gt;"&amp;AI22))+COUNTIF($AH$6:$AK$21,AI22)+COUNTIF($AH22:AH22,AI22)+1&lt;=$U$49,1,0)))</f>
        <v>0</v>
      </c>
      <c r="AT22" s="15" t="n">
        <f aca="false">IF(Y22=1,IF(ISNUMBER(G22),1,0),IF(AJ22="",0,IF(IF($U$39=1,COUNTIF($AH$6:$AK$24,"&gt;"&amp;AJ22),COUNTIF($AM$6:$AP$24,"&gt;"&amp;AJ22))+COUNTIF($AH$6:$AK$21,AJ22)+COUNTIF($AH22:AI22,AJ22)+1&lt;=$U$49,1,0)))</f>
        <v>0</v>
      </c>
      <c r="AU22" s="15" t="n">
        <f aca="false">IF(Y22=1,IF(ISNUMBER(H22),1,0),IF(AK22="",0,IF(IF($U$39=1,COUNTIF($AH$6:$AK$24,"&gt;"&amp;AK22),COUNTIF($AM$6:$AP$24,"&gt;"&amp;AK22))+COUNTIF($AH$6:$AK$21,AK22)+COUNTIF($AH22:AJ22,AK22)+1&lt;=$U$49,1,0)))</f>
        <v>0</v>
      </c>
      <c r="BZ22" s="15" t="n">
        <f aca="false">IFERROR(LARGE($AH$6:$AK$24,21),0)</f>
        <v>0</v>
      </c>
      <c r="CA22" s="15" t="n">
        <f aca="false">CA21+BZ22</f>
        <v>0</v>
      </c>
      <c r="CB22" s="15" t="n">
        <f aca="false">IFERROR(LARGE($AM$6:$AP$24,21),0)</f>
        <v>0</v>
      </c>
      <c r="CC22" s="15" t="n">
        <f aca="false">CC21+CB22</f>
        <v>0</v>
      </c>
      <c r="CE22" s="15" t="s">
        <v>79</v>
      </c>
      <c r="CF22" s="15" t="s">
        <v>80</v>
      </c>
      <c r="CG22" s="15" t="s">
        <v>81</v>
      </c>
      <c r="CH22" s="15" t="s">
        <v>82</v>
      </c>
      <c r="CI22" s="15" t="s">
        <v>83</v>
      </c>
      <c r="CJ22" s="15" t="s">
        <v>84</v>
      </c>
      <c r="CK22" s="15" t="s">
        <v>85</v>
      </c>
      <c r="CL22" s="15" t="s">
        <v>86</v>
      </c>
      <c r="CM22" s="15" t="s">
        <v>87</v>
      </c>
      <c r="CN22" s="15" t="s">
        <v>88</v>
      </c>
      <c r="CO22" s="15" t="s">
        <v>89</v>
      </c>
      <c r="CP22" s="15" t="s">
        <v>90</v>
      </c>
      <c r="CQ22" s="15" t="s">
        <v>91</v>
      </c>
      <c r="CR22" s="15" t="s">
        <v>92</v>
      </c>
      <c r="CS22" s="15" t="s">
        <v>93</v>
      </c>
      <c r="CT22" s="15" t="s">
        <v>94</v>
      </c>
      <c r="CU22" s="15" t="s">
        <v>95</v>
      </c>
      <c r="CV22" s="15" t="s">
        <v>96</v>
      </c>
      <c r="CW22" s="15" t="s">
        <v>97</v>
      </c>
      <c r="CX22" s="15" t="s">
        <v>98</v>
      </c>
      <c r="CY22" s="15" t="s">
        <v>99</v>
      </c>
      <c r="CZ22" s="15" t="s">
        <v>100</v>
      </c>
      <c r="DA22" s="15" t="s">
        <v>101</v>
      </c>
      <c r="DB22" s="15" t="s">
        <v>102</v>
      </c>
      <c r="DC22" s="15" t="s">
        <v>103</v>
      </c>
      <c r="DD22" s="15" t="s">
        <v>104</v>
      </c>
      <c r="DE22" s="15" t="s">
        <v>105</v>
      </c>
      <c r="DF22" s="15" t="s">
        <v>106</v>
      </c>
      <c r="DG22" s="15" t="s">
        <v>107</v>
      </c>
      <c r="DH22" s="15" t="s">
        <v>108</v>
      </c>
    </row>
    <row r="23" customFormat="false" ht="22.35" hidden="false" customHeight="false" outlineLevel="0" collapsed="false">
      <c r="B23" s="36" t="s">
        <v>214</v>
      </c>
      <c r="C23" s="37"/>
      <c r="D23" s="38"/>
      <c r="E23" s="24"/>
      <c r="F23" s="24"/>
      <c r="G23" s="24"/>
      <c r="H23" s="24"/>
      <c r="I23" s="39"/>
      <c r="J23" s="39"/>
      <c r="L23" s="42" t="s">
        <v>212</v>
      </c>
      <c r="M23" s="43" t="str">
        <f aca="false">IF($U$4=0,"",IF($U$60=1,"✓ erfüllt","✗ nicht erfüllt"))</f>
        <v/>
      </c>
      <c r="N23" s="36"/>
      <c r="T23" s="15" t="s">
        <v>202</v>
      </c>
      <c r="U23" s="15" t="n">
        <f aca="false">BQ6+BQ7+BQ8+BQ9+BQ26</f>
        <v>0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IF(Y23=1,IF(ISNUMBER(E23),1,0),IF(AH23="",0,IF(IF($U$39=1,COUNTIF($AH$6:$AK$24,"&gt;"&amp;AH23),COUNTIF($AM$6:$AP$24,"&gt;"&amp;AH23))+COUNTIF($AH$6:$AK$22,AH23)+1&lt;=$U$49,1,0)))</f>
        <v>0</v>
      </c>
      <c r="AS23" s="15" t="n">
        <f aca="false">IF(Y23=1,IF(ISNUMBER(F23),1,0),IF(AI23="",0,IF(IF($U$39=1,COUNTIF($AH$6:$AK$24,"&gt;"&amp;AI23),COUNTIF($AM$6:$AP$24,"&gt;"&amp;AI23))+COUNTIF($AH$6:$AK$22,AI23)+COUNTIF($AH23:AH23,AI23)+1&lt;=$U$49,1,0)))</f>
        <v>0</v>
      </c>
      <c r="AT23" s="15" t="n">
        <f aca="false">IF(Y23=1,IF(ISNUMBER(G23),1,0),IF(AJ23="",0,IF(IF($U$39=1,COUNTIF($AH$6:$AK$24,"&gt;"&amp;AJ23),COUNTIF($AM$6:$AP$24,"&gt;"&amp;AJ23))+COUNTIF($AH$6:$AK$22,AJ23)+COUNTIF($AH23:AI23,AJ23)+1&lt;=$U$49,1,0)))</f>
        <v>0</v>
      </c>
      <c r="AU23" s="15" t="n">
        <f aca="false">IF(Y23=1,IF(ISNUMBER(H23),1,0),IF(AK23="",0,IF(IF($U$39=1,COUNTIF($AH$6:$AK$24,"&gt;"&amp;AK23),COUNTIF($AM$6:$AP$24,"&gt;"&amp;AK23))+COUNTIF($AH$6:$AK$22,AK23)+COUNTIF($AH23:AJ23,AK23)+1&lt;=$U$49,1,0)))</f>
        <v>0</v>
      </c>
      <c r="BZ23" s="15" t="n">
        <f aca="false">IFERROR(LARGE($AH$6:$AK$24,22),0)</f>
        <v>0</v>
      </c>
      <c r="CA23" s="15" t="n">
        <f aca="false">CA22+BZ23</f>
        <v>0</v>
      </c>
      <c r="CB23" s="15" t="n">
        <f aca="false">IFERROR(LARGE($AM$6:$AP$24,22),0)</f>
        <v>0</v>
      </c>
      <c r="CC23" s="15" t="n">
        <f aca="false">CC22+CB23</f>
        <v>0</v>
      </c>
      <c r="CE23" s="15" t="n">
        <f aca="false">32</f>
        <v>32</v>
      </c>
      <c r="CF23" s="15" t="n">
        <f aca="false">CE23-$V$5-$V$6-0</f>
        <v>16</v>
      </c>
      <c r="CG23" s="15" t="n">
        <f aca="false">MAX(0,CF23)</f>
        <v>16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16</v>
      </c>
      <c r="CK23" s="15" t="n">
        <f aca="false">$V$5+CH23+CJ23+$V$14*0</f>
        <v>32</v>
      </c>
      <c r="CL23" s="15" t="n">
        <f aca="false">2*BE6+1*BF6+2*BE7+1*BF7</f>
        <v>98</v>
      </c>
      <c r="CM23" s="15" t="n">
        <f aca="false">2*BG6+1*BH6+2*BG7+1*BH7+1*BG8+1*BH8+1*BG9+1*BH9+SUM($AE$11:$AE$24)</f>
        <v>22</v>
      </c>
      <c r="CN23" s="15" t="n">
        <f aca="false">IF(CH23=0,0,INDEX($CC$2:$CC$57,CH23))</f>
        <v>0</v>
      </c>
      <c r="CO23" s="15" t="n">
        <f aca="false">CL23+$V$11+CN23+CJ23*$U$2+IF($V$14=1,$V$13*2,0)</f>
        <v>280</v>
      </c>
      <c r="CP23" s="15" t="n">
        <f aca="false">CM23+CH23+CJ23+$V$14*2</f>
        <v>40</v>
      </c>
      <c r="CQ23" s="15" t="n">
        <f aca="false">MIN(600,INT((CO23)+0.5+0.000000001))</f>
        <v>280</v>
      </c>
      <c r="CR23" s="15" t="n">
        <f aca="false">$V$9+CT23</f>
        <v>0</v>
      </c>
      <c r="CS23" s="15" t="n">
        <f aca="false">6</f>
        <v>6</v>
      </c>
      <c r="CT23" s="15" t="n">
        <f aca="false">$V$10+MAX(0,CH23-$V$8)+CJ23*IF($U$2&lt;5,1,0)</f>
        <v>0</v>
      </c>
      <c r="CU23" s="15" t="n">
        <f aca="false">$V$11+CN23+CJ23*$U$2</f>
        <v>168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IF($V$9&lt;=2,1,0)</f>
        <v>1</v>
      </c>
      <c r="CY23" s="15" t="n">
        <f aca="false">1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1028068</v>
      </c>
    </row>
    <row r="24" customFormat="false" ht="15" hidden="false" customHeight="false" outlineLevel="0" collapsed="false">
      <c r="B24" s="36" t="s">
        <v>217</v>
      </c>
      <c r="C24" s="37"/>
      <c r="D24" s="38"/>
      <c r="E24" s="24"/>
      <c r="F24" s="24"/>
      <c r="G24" s="24"/>
      <c r="H24" s="24"/>
      <c r="I24" s="39"/>
      <c r="J24" s="39"/>
      <c r="L24" s="42" t="s">
        <v>215</v>
      </c>
      <c r="M24" s="43" t="str">
        <f aca="false">IF($U$4=0,"",IF($U$65=1,"✓ erfüllt","✗ nicht erfüllt"))</f>
        <v/>
      </c>
      <c r="N24" s="36" t="str">
        <f aca="false">IF($U$4=0,"",$U$63&amp;" Punkte")</f>
        <v/>
      </c>
      <c r="T24" s="15" t="s">
        <v>204</v>
      </c>
      <c r="U24" s="15" t="n">
        <f aca="false">BR6+BR7+BR8+BR9+BR26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IF(Y24=1,IF(ISNUMBER(E24),1,0),IF(AH24="",0,IF(IF($U$39=1,COUNTIF($AH$6:$AK$24,"&gt;"&amp;AH24),COUNTIF($AM$6:$AP$24,"&gt;"&amp;AH24))+COUNTIF($AH$6:$AK$23,AH24)+1&lt;=$U$49,1,0)))</f>
        <v>0</v>
      </c>
      <c r="AS24" s="15" t="n">
        <f aca="false">IF(Y24=1,IF(ISNUMBER(F24),1,0),IF(AI24="",0,IF(IF($U$39=1,COUNTIF($AH$6:$AK$24,"&gt;"&amp;AI24),COUNTIF($AM$6:$AP$24,"&gt;"&amp;AI24))+COUNTIF($AH$6:$AK$23,AI24)+COUNTIF($AH24:AH24,AI24)+1&lt;=$U$49,1,0)))</f>
        <v>0</v>
      </c>
      <c r="AT24" s="15" t="n">
        <f aca="false">IF(Y24=1,IF(ISNUMBER(G24),1,0),IF(AJ24="",0,IF(IF($U$39=1,COUNTIF($AH$6:$AK$24,"&gt;"&amp;AJ24),COUNTIF($AM$6:$AP$24,"&gt;"&amp;AJ24))+COUNTIF($AH$6:$AK$23,AJ24)+COUNTIF($AH24:AI24,AJ24)+1&lt;=$U$49,1,0)))</f>
        <v>0</v>
      </c>
      <c r="AU24" s="15" t="n">
        <f aca="false">IF(Y24=1,IF(ISNUMBER(H24),1,0),IF(AK24="",0,IF(IF($U$39=1,COUNTIF($AH$6:$AK$24,"&gt;"&amp;AK24),COUNTIF($AM$6:$AP$24,"&gt;"&amp;AK24))+COUNTIF($AH$6:$AK$23,AK24)+COUNTIF($AH24:AJ24,AK24)+1&lt;=$U$49,1,0)))</f>
        <v>0</v>
      </c>
      <c r="BZ24" s="15" t="n">
        <f aca="false">IFERROR(LARGE($AH$6:$AK$24,23),0)</f>
        <v>0</v>
      </c>
      <c r="CA24" s="15" t="n">
        <f aca="false">CA23+BZ24</f>
        <v>0</v>
      </c>
      <c r="CB24" s="15" t="n">
        <f aca="false">IFERROR(LARGE($AM$6:$AP$24,23),0)</f>
        <v>0</v>
      </c>
      <c r="CC24" s="15" t="n">
        <f aca="false">CC23+CB24</f>
        <v>0</v>
      </c>
    </row>
    <row r="25" customFormat="false" ht="22.35" hidden="false" customHeight="false" outlineLevel="0" collapsed="false">
      <c r="L25" s="42" t="str">
        <f aca="false">"In mindestens "&amp;$U$30&amp;" Prüfungen mindestens 5 Punkte (einfach), davon eine im 1./2. Prüfungsfach"</f>
        <v>In mindestens 2 Prüfungen mindestens 5 Punkte (einfach), davon eine im 1./2. Prüfungsfach</v>
      </c>
      <c r="M25" s="43" t="str">
        <f aca="false">IF($U$4=0,"",IF($U$66=1,"✓ erfüllt","✗ nicht erfüllt"))</f>
        <v/>
      </c>
      <c r="N25" s="36" t="str">
        <f aca="false">IF($U$4=0,"",$U$64&amp;" Prüfungen")</f>
        <v/>
      </c>
      <c r="T25" s="15" t="s">
        <v>207</v>
      </c>
      <c r="U25" s="15" t="n">
        <f aca="false">MIN(300,INT((SUM(BU6,BU7,BU8,BU9,BU26))+0.5+0.000000001))</f>
        <v>140</v>
      </c>
      <c r="BZ25" s="15" t="n">
        <f aca="false">IFERROR(LARGE($AH$6:$AK$24,24),0)</f>
        <v>0</v>
      </c>
      <c r="CA25" s="15" t="n">
        <f aca="false">CA24+BZ25</f>
        <v>0</v>
      </c>
      <c r="CB25" s="15" t="n">
        <f aca="false">IFERROR(LARGE($AM$6:$AP$24,24),0)</f>
        <v>0</v>
      </c>
      <c r="CC25" s="15" t="n">
        <f aca="false">CC24+CB25</f>
        <v>0</v>
      </c>
    </row>
    <row r="26" customFormat="false" ht="30" hidden="false" customHeight="true" outlineLevel="0" collapsed="false">
      <c r="B26" s="21" t="s">
        <v>338</v>
      </c>
      <c r="C26" s="37"/>
      <c r="I26" s="25"/>
      <c r="J26" s="54" t="s">
        <v>339</v>
      </c>
      <c r="L26" s="42" t="s">
        <v>221</v>
      </c>
      <c r="M26" s="43" t="str">
        <f aca="false">IF($U$4=0,"",IF($U$69=1,"✓ erfüllt","✗ nicht erfüllt"))</f>
        <v/>
      </c>
      <c r="N26" s="36" t="str">
        <f aca="false">IF($U$4=0,"",$U$68&amp;" Punkte")</f>
        <v/>
      </c>
      <c r="T26" s="15" t="s">
        <v>210</v>
      </c>
      <c r="U26" s="15" t="n">
        <f aca="false">SUM(BV6,BV7,BV8,BV9,BV26)</f>
        <v>4</v>
      </c>
      <c r="BN26" s="15" t="str">
        <f aca="false">IF(ISNUMBER($I$26),$I$26,"")</f>
        <v/>
      </c>
      <c r="BO26" s="15" t="str">
        <f aca="false">IF(BN26="","",BN26*$U$19)</f>
        <v/>
      </c>
      <c r="BP26" s="15" t="n">
        <f aca="false">IF(BO26="",0,IF(BO26&gt;=5*$U$19-0.000000001,1,0))</f>
        <v>0</v>
      </c>
      <c r="BQ26" s="15" t="n">
        <f aca="false">IF(BO26="",0,IF(BO26&lt;0.000000001,1,0))</f>
        <v>0</v>
      </c>
      <c r="BR26" s="15" t="n">
        <f aca="false">0</f>
        <v>0</v>
      </c>
      <c r="BT26" s="15" t="str">
        <f aca="false">IF(ISNUMBER($I$26),$I$26,"")</f>
        <v/>
      </c>
      <c r="BU26" s="15" t="str">
        <f aca="false">IF(BT26="","",BT26*$U$19)</f>
        <v/>
      </c>
      <c r="BV26" s="15" t="n">
        <f aca="false">IF(BU26="",0,IF(BU26&gt;=5*$U$19-0.000000001,1,0))</f>
        <v>0</v>
      </c>
      <c r="BW26" s="15" t="n">
        <f aca="false">IF(BU26="",0,IF(BU26&lt;0.000000001,1,0))</f>
        <v>0</v>
      </c>
      <c r="BX26" s="15" t="n">
        <f aca="false">0</f>
        <v>0</v>
      </c>
      <c r="BZ26" s="15" t="n">
        <f aca="false">IFERROR(LARGE($AH$6:$AK$24,25),0)</f>
        <v>0</v>
      </c>
      <c r="CA26" s="15" t="n">
        <f aca="false">CA25+BZ26</f>
        <v>0</v>
      </c>
      <c r="CB26" s="15" t="n">
        <f aca="false">IFERROR(LARGE($AM$6:$AP$24,25),0)</f>
        <v>0</v>
      </c>
      <c r="CC26" s="15" t="n">
        <f aca="false">CC25+CB26</f>
        <v>0</v>
      </c>
    </row>
    <row r="27" customFormat="false" ht="30" hidden="false" customHeight="true" outlineLevel="0" collapsed="false">
      <c r="B27" s="21" t="s">
        <v>350</v>
      </c>
      <c r="C27" s="37"/>
      <c r="E27" s="25"/>
      <c r="F27" s="51" t="s">
        <v>351</v>
      </c>
      <c r="T27" s="15" t="s">
        <v>213</v>
      </c>
      <c r="U27" s="15" t="n">
        <f aca="false">BV6+BV7</f>
        <v>2</v>
      </c>
      <c r="BZ27" s="15" t="n">
        <f aca="false">IFERROR(LARGE($AH$6:$AK$24,26),0)</f>
        <v>0</v>
      </c>
      <c r="CA27" s="15" t="n">
        <f aca="false">CA26+BZ27</f>
        <v>0</v>
      </c>
      <c r="CB27" s="15" t="n">
        <f aca="false">IFERROR(LARGE($AM$6:$AP$24,26),0)</f>
        <v>0</v>
      </c>
      <c r="CC27" s="15" t="n">
        <f aca="false">CC26+CB27</f>
        <v>0</v>
      </c>
    </row>
    <row r="28" customFormat="false" ht="15" hidden="false" customHeight="false" outlineLevel="0" collapsed="false">
      <c r="L28" s="44" t="s">
        <v>226</v>
      </c>
      <c r="T28" s="15" t="s">
        <v>216</v>
      </c>
      <c r="U28" s="15" t="n">
        <f aca="false">BW6+BW7+BW8+BW9+BW26</f>
        <v>0</v>
      </c>
      <c r="BZ28" s="15" t="n">
        <f aca="false">IFERROR(LARGE($AH$6:$AK$24,27),0)</f>
        <v>0</v>
      </c>
      <c r="CA28" s="15" t="n">
        <f aca="false">CA27+BZ28</f>
        <v>0</v>
      </c>
      <c r="CB28" s="15" t="n">
        <f aca="false">IFERROR(LARGE($AM$6:$AP$24,27),0)</f>
        <v>0</v>
      </c>
      <c r="CC28" s="15" t="n">
        <f aca="false">CC27+CB28</f>
        <v>0</v>
      </c>
    </row>
    <row r="29" customFormat="false" ht="15" hidden="false" customHeight="false" outlineLevel="0" collapsed="false">
      <c r="B29" s="5" t="s">
        <v>352</v>
      </c>
      <c r="L29" s="8" t="s">
        <v>229</v>
      </c>
      <c r="T29" s="15" t="s">
        <v>218</v>
      </c>
      <c r="U29" s="15" t="n">
        <f aca="false">BX6+BX7+BX8+BX9+BX26</f>
        <v>0</v>
      </c>
      <c r="BZ29" s="15" t="n">
        <f aca="false">IFERROR(LARGE($AH$6:$AK$24,28),0)</f>
        <v>0</v>
      </c>
      <c r="CA29" s="15" t="n">
        <f aca="false">CA28+BZ29</f>
        <v>0</v>
      </c>
      <c r="CB29" s="15" t="n">
        <f aca="false">IFERROR(LARGE($AM$6:$AP$24,28),0)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">
        <v>353</v>
      </c>
      <c r="L30" s="45" t="s">
        <v>232</v>
      </c>
      <c r="T30" s="15" t="s">
        <v>220</v>
      </c>
      <c r="U30" s="15" t="n">
        <f aca="false">2</f>
        <v>2</v>
      </c>
      <c r="BZ30" s="15" t="n">
        <f aca="false">IFERROR(LARGE($AH$6:$AK$24,29),0)</f>
        <v>0</v>
      </c>
      <c r="CA30" s="15" t="n">
        <f aca="false">CA29+BZ30</f>
        <v>0</v>
      </c>
      <c r="CB30" s="15" t="n">
        <f aca="false">IFERROR(LARGE($AM$6:$AP$24,29),0)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354</v>
      </c>
      <c r="L31" s="46" t="s">
        <v>235</v>
      </c>
      <c r="T31" s="15" t="s">
        <v>222</v>
      </c>
      <c r="U31" s="15" t="n">
        <f aca="false">IF(ISNUMBER($I$6),0,1)+IF(ISNUMBER($I$7),0,1)+IF(ISNUMBER($I$8),0,1)+IF(ISNUMBER($I$9),0,1)</f>
        <v>4</v>
      </c>
      <c r="BZ31" s="15" t="n">
        <f aca="false">IFERROR(LARGE($AH$6:$AK$24,30),0)</f>
        <v>0</v>
      </c>
      <c r="CA31" s="15" t="n">
        <f aca="false">CA30+BZ31</f>
        <v>0</v>
      </c>
      <c r="CB31" s="15" t="n">
        <f aca="false">IFERROR(LARGE($AM$6:$AP$24,30),0)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355</v>
      </c>
      <c r="L32" s="47" t="s">
        <v>238</v>
      </c>
      <c r="T32" s="15" t="s">
        <v>224</v>
      </c>
      <c r="U32" s="15" t="n">
        <f aca="false">IF($U$20&gt;=100,1,0)</f>
        <v>0</v>
      </c>
      <c r="BZ32" s="15" t="n">
        <f aca="false">IFERROR(LARGE($AH$6:$AK$24,31),0)</f>
        <v>0</v>
      </c>
      <c r="CA32" s="15" t="n">
        <f aca="false">CA31+BZ32</f>
        <v>0</v>
      </c>
      <c r="CB32" s="15" t="n">
        <f aca="false">IFERROR(LARGE($AM$6:$AP$24,31),0)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356</v>
      </c>
      <c r="T33" s="15" t="s">
        <v>227</v>
      </c>
      <c r="U33" s="15" t="n">
        <f aca="false">IF(AND($U$21&gt;=$U$30,$U$22&gt;=1),1,0)</f>
        <v>0</v>
      </c>
      <c r="BZ33" s="15" t="n">
        <f aca="false">IFERROR(LARGE($AH$6:$AK$24,32),0)</f>
        <v>0</v>
      </c>
      <c r="CA33" s="15" t="n">
        <f aca="false">CA32+BZ33</f>
        <v>0</v>
      </c>
      <c r="CB33" s="15" t="n">
        <f aca="false">IFERROR(LARGE($AM$6:$AP$24,32),0)</f>
        <v>0</v>
      </c>
      <c r="CC33" s="15" t="n">
        <f aca="false">CC32+CB33</f>
        <v>0</v>
      </c>
    </row>
    <row r="34" customFormat="false" ht="15" hidden="false" customHeight="false" outlineLevel="0" collapsed="false">
      <c r="B34" s="12" t="s">
        <v>330</v>
      </c>
      <c r="L34" s="48" t="s">
        <v>242</v>
      </c>
      <c r="T34" s="15" t="s">
        <v>233</v>
      </c>
      <c r="U34" s="15" t="n">
        <f aca="false">$U$32*$U$33</f>
        <v>0</v>
      </c>
      <c r="BZ34" s="15" t="n">
        <f aca="false">IFERROR(LARGE($AH$6:$AK$24,33),0)</f>
        <v>0</v>
      </c>
      <c r="CA34" s="15" t="n">
        <f aca="false">CA33+BZ34</f>
        <v>0</v>
      </c>
      <c r="CB34" s="15" t="n">
        <f aca="false">IFERROR(LARGE($AM$6:$AP$24,33),0)</f>
        <v>0</v>
      </c>
      <c r="CC34" s="15" t="n">
        <f aca="false">CC33+CB34</f>
        <v>0</v>
      </c>
    </row>
    <row r="35" customFormat="false" ht="15" hidden="false" customHeight="false" outlineLevel="0" collapsed="false">
      <c r="L35" s="48" t="s">
        <v>245</v>
      </c>
      <c r="T35" s="15" t="s">
        <v>236</v>
      </c>
      <c r="U35" s="15" t="n">
        <f aca="false">IF($U$25&gt;=100,1,0)</f>
        <v>1</v>
      </c>
      <c r="BZ35" s="15" t="n">
        <f aca="false">IFERROR(LARGE($AH$6:$AK$24,34),0)</f>
        <v>0</v>
      </c>
      <c r="CA35" s="15" t="n">
        <f aca="false">CA34+BZ35</f>
        <v>0</v>
      </c>
      <c r="CB35" s="15" t="n">
        <f aca="false">IFERROR(LARGE($AM$6:$AP$24,34),0)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48" t="s">
        <v>357</v>
      </c>
      <c r="T36" s="15" t="s">
        <v>239</v>
      </c>
      <c r="U36" s="15" t="n">
        <f aca="false">IF(AND($U$26&gt;=$U$30,$U$27&gt;=1),1,0)</f>
        <v>1</v>
      </c>
      <c r="BZ36" s="15" t="n">
        <f aca="false">IFERROR(LARGE($AH$6:$AK$24,35),0)</f>
        <v>0</v>
      </c>
      <c r="CA36" s="15" t="n">
        <f aca="false">CA35+BZ36</f>
        <v>0</v>
      </c>
      <c r="CB36" s="15" t="n">
        <f aca="false">IFERROR(LARGE($AM$6:$AP$24,35),0)</f>
        <v>0</v>
      </c>
      <c r="CC36" s="15" t="n">
        <f aca="false">CC35+CB36</f>
        <v>0</v>
      </c>
    </row>
    <row r="37" customFormat="false" ht="15" hidden="false" customHeight="false" outlineLevel="0" collapsed="false">
      <c r="B37" s="49" t="s">
        <v>358</v>
      </c>
      <c r="T37" s="15" t="s">
        <v>243</v>
      </c>
      <c r="U37" s="15" t="n">
        <f aca="false">$U$35*$U$36</f>
        <v>1</v>
      </c>
      <c r="BZ37" s="15" t="n">
        <f aca="false">IFERROR(LARGE($AH$6:$AK$24,36),0)</f>
        <v>0</v>
      </c>
      <c r="CA37" s="15" t="n">
        <f aca="false">CA36+BZ37</f>
        <v>0</v>
      </c>
      <c r="CB37" s="15" t="n">
        <f aca="false">IFERROR(LARGE($AM$6:$AP$24,36),0)</f>
        <v>0</v>
      </c>
      <c r="CC37" s="15" t="n">
        <f aca="false">CC36+CB37</f>
        <v>0</v>
      </c>
    </row>
    <row r="38" customFormat="false" ht="15" hidden="false" customHeight="false" outlineLevel="0" collapsed="false">
      <c r="T38" s="15" t="s">
        <v>246</v>
      </c>
      <c r="U38" s="15" t="n">
        <f aca="false">INDEX($DG$3:$DG$3,$U$16)+$U$31+$U$15</f>
        <v>37</v>
      </c>
      <c r="BZ38" s="15" t="n">
        <f aca="false">IFERROR(LARGE($AH$6:$AK$24,37),0)</f>
        <v>0</v>
      </c>
      <c r="CA38" s="15" t="n">
        <f aca="false">CA37+BZ38</f>
        <v>0</v>
      </c>
      <c r="CB38" s="15" t="n">
        <f aca="false">IFERROR(LARGE($AM$6:$AP$24,37),0)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0" t="s">
        <v>359</v>
      </c>
      <c r="T39" s="15" t="s">
        <v>247</v>
      </c>
      <c r="U39" s="15" t="n">
        <f aca="false">IF($U$38=0,1,0)</f>
        <v>0</v>
      </c>
      <c r="BZ39" s="15" t="n">
        <f aca="false">IFERROR(LARGE($AH$6:$AK$24,38),0)</f>
        <v>0</v>
      </c>
      <c r="CA39" s="15" t="n">
        <f aca="false">CA38+BZ39</f>
        <v>0</v>
      </c>
      <c r="CB39" s="15" t="n">
        <f aca="false">IFERROR(LARGE($AM$6:$AP$24,38),0)</f>
        <v>0</v>
      </c>
      <c r="CC39" s="15" t="n">
        <f aca="false">CC38+CB39</f>
        <v>0</v>
      </c>
    </row>
    <row r="40" customFormat="false" ht="15" hidden="false" customHeight="false" outlineLevel="0" collapsed="false">
      <c r="B40" s="51" t="s">
        <v>250</v>
      </c>
      <c r="T40" s="15" t="s">
        <v>249</v>
      </c>
      <c r="U40" s="15" t="n">
        <f aca="false">IF($U$39=1,INDEX($CQ$3:$CQ$3,$U$16),INDEX($CQ$23:$CQ$23,$U$17))</f>
        <v>280</v>
      </c>
      <c r="BZ40" s="15" t="n">
        <f aca="false">IFERROR(LARGE($AH$6:$AK$24,39),0)</f>
        <v>0</v>
      </c>
      <c r="CA40" s="15" t="n">
        <f aca="false">CA39+BZ40</f>
        <v>0</v>
      </c>
      <c r="CB40" s="15" t="n">
        <f aca="false">IFERROR(LARGE($AM$6:$AP$24,39),0)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251</v>
      </c>
      <c r="U41" s="15" t="n">
        <f aca="false">IF($U$39=1,INDEX($CK$3:$CK$3,$U$16),INDEX($CK$23:$CK$23,$U$17))</f>
        <v>32</v>
      </c>
      <c r="BZ41" s="15" t="n">
        <f aca="false">IFERROR(LARGE($AH$6:$AK$24,40),0)</f>
        <v>0</v>
      </c>
      <c r="CA41" s="15" t="n">
        <f aca="false">CA40+BZ41</f>
        <v>0</v>
      </c>
      <c r="CB41" s="15" t="n">
        <f aca="false">IFERROR(LARGE($AM$6:$AP$24,40),0)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252</v>
      </c>
      <c r="U42" s="15" t="n">
        <f aca="false">IF($U$39=1,INDEX($CR$3:$CR$3,$U$16),INDEX($CR$23:$CR$23,$U$17))</f>
        <v>0</v>
      </c>
      <c r="BZ42" s="15" t="n">
        <f aca="false">IFERROR(LARGE($AH$6:$AK$24,41),0)</f>
        <v>0</v>
      </c>
      <c r="CA42" s="15" t="n">
        <f aca="false">CA41+BZ42</f>
        <v>0</v>
      </c>
      <c r="CB42" s="15" t="n">
        <f aca="false">IFERROR(LARGE($AM$6:$AP$24,41),0)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253</v>
      </c>
      <c r="U43" s="15" t="n">
        <f aca="false">IF($U$39=1,INDEX($CS$3:$CS$3,$U$16),INDEX($CS$23:$CS$23,$U$17))</f>
        <v>6</v>
      </c>
      <c r="BZ43" s="15" t="n">
        <f aca="false">IFERROR(LARGE($AH$6:$AK$24,42),0)</f>
        <v>0</v>
      </c>
      <c r="CA43" s="15" t="n">
        <f aca="false">CA42+BZ43</f>
        <v>0</v>
      </c>
      <c r="CB43" s="15" t="n">
        <f aca="false">IFERROR(LARGE($AM$6:$AP$24,42),0)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254</v>
      </c>
      <c r="U44" s="15" t="n">
        <f aca="false">IF($U$39=1,INDEX($CT$3:$CT$3,$U$16),INDEX($CT$23:$CT$23,$U$17))</f>
        <v>0</v>
      </c>
      <c r="BZ44" s="15" t="n">
        <f aca="false">IFERROR(LARGE($AH$6:$AK$24,43),0)</f>
        <v>0</v>
      </c>
      <c r="CA44" s="15" t="n">
        <f aca="false">CA43+BZ44</f>
        <v>0</v>
      </c>
      <c r="CB44" s="15" t="n">
        <f aca="false">IFERROR(LARGE($AM$6:$AP$24,43),0)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255</v>
      </c>
      <c r="U45" s="15" t="n">
        <f aca="false">IF($U$39=1,INDEX($CL$3:$CL$3,$U$16),INDEX($CL$23:$CL$23,$U$17))</f>
        <v>98</v>
      </c>
      <c r="BZ45" s="15" t="n">
        <f aca="false">IFERROR(LARGE($AH$6:$AK$24,44),0)</f>
        <v>0</v>
      </c>
      <c r="CA45" s="15" t="n">
        <f aca="false">CA44+BZ45</f>
        <v>0</v>
      </c>
      <c r="CB45" s="15" t="n">
        <f aca="false">IFERROR(LARGE($AM$6:$AP$24,44),0)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256</v>
      </c>
      <c r="U46" s="15" t="n">
        <f aca="false">IF($U$39=1,INDEX($CU$3:$CU$3,$U$16),INDEX($CU$23:$CU$23,$U$17))</f>
        <v>168</v>
      </c>
      <c r="BZ46" s="15" t="n">
        <f aca="false">IFERROR(LARGE($AH$6:$AK$24,45),0)</f>
        <v>0</v>
      </c>
      <c r="CA46" s="15" t="n">
        <f aca="false">CA45+BZ46</f>
        <v>0</v>
      </c>
      <c r="CB46" s="15" t="n">
        <f aca="false">IFERROR(LARGE($AM$6:$AP$24,45),0)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257</v>
      </c>
      <c r="U47" s="15" t="n">
        <f aca="false">IF($U$39=1,INDEX($CP$3:$CP$3,$U$16),INDEX($CP$23:$CP$23,$U$17))</f>
        <v>40</v>
      </c>
      <c r="BZ47" s="15" t="n">
        <f aca="false">IFERROR(LARGE($AH$6:$AK$24,46),0)</f>
        <v>0</v>
      </c>
      <c r="CA47" s="15" t="n">
        <f aca="false">CA46+BZ47</f>
        <v>0</v>
      </c>
      <c r="CB47" s="15" t="n">
        <f aca="false">IFERROR(LARGE($AM$6:$AP$24,46),0)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258</v>
      </c>
      <c r="U48" s="15" t="n">
        <f aca="false">IF($U$39=1,INDEX($CO$3:$CO$3,$U$16),INDEX($CO$23:$CO$23,$U$17))</f>
        <v>280</v>
      </c>
      <c r="BZ48" s="15" t="n">
        <f aca="false">IFERROR(LARGE($AH$6:$AK$24,47),0)</f>
        <v>0</v>
      </c>
      <c r="CA48" s="15" t="n">
        <f aca="false">CA47+BZ48</f>
        <v>0</v>
      </c>
      <c r="CB48" s="15" t="n">
        <f aca="false">IFERROR(LARGE($AM$6:$AP$24,47),0)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259</v>
      </c>
      <c r="U49" s="15" t="n">
        <f aca="false">IF($U$39=1,INDEX($CH$3:$CH$3,$U$16),INDEX($CH$23:$CH$23,$U$17))</f>
        <v>0</v>
      </c>
      <c r="BZ49" s="15" t="n">
        <f aca="false">IFERROR(LARGE($AH$6:$AK$24,48),0)</f>
        <v>0</v>
      </c>
      <c r="CA49" s="15" t="n">
        <f aca="false">CA48+BZ49</f>
        <v>0</v>
      </c>
      <c r="CB49" s="15" t="n">
        <f aca="false">IFERROR(LARGE($AM$6:$AP$24,48),0)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260</v>
      </c>
      <c r="U50" s="15" t="n">
        <f aca="false">IF($U$39=1,INDEX($DF$3:$DF$3,$U$16),INDEX($DF$23:$DF$23,$U$17))</f>
        <v>1</v>
      </c>
      <c r="BZ50" s="15" t="n">
        <f aca="false">IFERROR(LARGE($AH$6:$AK$24,49),0)</f>
        <v>0</v>
      </c>
      <c r="CA50" s="15" t="n">
        <f aca="false">CA49+BZ50</f>
        <v>0</v>
      </c>
      <c r="CB50" s="15" t="n">
        <f aca="false">IFERROR(LARGE($AM$6:$AP$24,49),0)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261</v>
      </c>
      <c r="U51" s="15" t="n">
        <f aca="false">IF($U$39=1,INDEX($CV$3:$CV$3,$U$16),INDEX($CV$23:$CV$23,$U$17))</f>
        <v>1</v>
      </c>
      <c r="BZ51" s="15" t="n">
        <f aca="false">IFERROR(LARGE($AH$6:$AK$24,50),0)</f>
        <v>0</v>
      </c>
      <c r="CA51" s="15" t="n">
        <f aca="false">CA50+BZ51</f>
        <v>0</v>
      </c>
      <c r="CB51" s="15" t="n">
        <f aca="false">IFERROR(LARGE($AM$6:$AP$24,50),0)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262</v>
      </c>
      <c r="U52" s="15" t="n">
        <f aca="false">IF($U$39=1,INDEX($CW$3:$CW$3,$U$16),INDEX($CW$23:$CW$23,$U$17))</f>
        <v>1</v>
      </c>
      <c r="BZ52" s="15" t="n">
        <f aca="false">IFERROR(LARGE($AH$6:$AK$24,51),0)</f>
        <v>0</v>
      </c>
      <c r="CA52" s="15" t="n">
        <f aca="false">CA51+BZ52</f>
        <v>0</v>
      </c>
      <c r="CB52" s="15" t="n">
        <f aca="false">IFERROR(LARGE($AM$6:$AP$24,51),0)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263</v>
      </c>
      <c r="U53" s="15" t="n">
        <f aca="false">IF($U$39=1,INDEX($CX$3:$CX$3,$U$16),INDEX($CX$23:$CX$23,$U$17))</f>
        <v>1</v>
      </c>
      <c r="BZ53" s="15" t="n">
        <f aca="false">IFERROR(LARGE($AH$6:$AK$24,52),0)</f>
        <v>0</v>
      </c>
      <c r="CA53" s="15" t="n">
        <f aca="false">CA52+BZ53</f>
        <v>0</v>
      </c>
      <c r="CB53" s="15" t="n">
        <f aca="false">IFERROR(LARGE($AM$6:$AP$24,52),0)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264</v>
      </c>
      <c r="U54" s="15" t="n">
        <f aca="false">IF($U$39=1,INDEX($CY$3:$CY$3,$U$16),INDEX($CY$23:$CY$23,$U$17))</f>
        <v>1</v>
      </c>
      <c r="BZ54" s="15" t="n">
        <f aca="false">IFERROR(LARGE($AH$6:$AK$24,53),0)</f>
        <v>0</v>
      </c>
      <c r="CA54" s="15" t="n">
        <f aca="false">CA53+BZ54</f>
        <v>0</v>
      </c>
      <c r="CB54" s="15" t="n">
        <f aca="false">IFERROR(LARGE($AM$6:$AP$24,53),0)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265</v>
      </c>
      <c r="U55" s="15" t="n">
        <f aca="false">IF($U$39=1,INDEX($CZ$3:$CZ$3,$U$16),INDEX($CZ$23:$CZ$23,$U$17))</f>
        <v>1</v>
      </c>
      <c r="BZ55" s="15" t="n">
        <f aca="false">IFERROR(LARGE($AH$6:$AK$24,54),0)</f>
        <v>0</v>
      </c>
      <c r="CA55" s="15" t="n">
        <f aca="false">CA54+BZ55</f>
        <v>0</v>
      </c>
      <c r="CB55" s="15" t="n">
        <f aca="false">IFERROR(LARGE($AM$6:$AP$24,54),0)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266</v>
      </c>
      <c r="U56" s="15" t="n">
        <f aca="false">IF($U$39=1,INDEX($DA$3:$DA$3,$U$16),INDEX($DA$23:$DA$23,$U$17))</f>
        <v>1</v>
      </c>
      <c r="BZ56" s="15" t="n">
        <f aca="false">IFERROR(LARGE($AH$6:$AK$24,55),0)</f>
        <v>0</v>
      </c>
      <c r="CA56" s="15" t="n">
        <f aca="false">CA55+BZ56</f>
        <v>0</v>
      </c>
      <c r="CB56" s="15" t="n">
        <f aca="false">IFERROR(LARGE($AM$6:$AP$24,55),0)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267</v>
      </c>
      <c r="U57" s="15" t="n">
        <f aca="false">IF($U$39=1,INDEX($DB$3:$DB$3,$U$16),INDEX($DB$23:$DB$23,$U$17))</f>
        <v>1</v>
      </c>
      <c r="BZ57" s="15" t="n">
        <f aca="false">IFERROR(LARGE($AH$6:$AK$24,56),0)</f>
        <v>0</v>
      </c>
      <c r="CA57" s="15" t="n">
        <f aca="false">CA56+BZ57</f>
        <v>0</v>
      </c>
      <c r="CB57" s="15" t="n">
        <f aca="false">IFERROR(LARGE($AM$6:$AP$24,56),0)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268</v>
      </c>
      <c r="U58" s="15" t="n">
        <f aca="false">IF($U$39=1,INDEX($DC$3:$DC$3,$U$16),INDEX($DC$23:$DC$23,$U$17))</f>
        <v>1</v>
      </c>
    </row>
    <row r="59" customFormat="false" ht="15" hidden="false" customHeight="false" outlineLevel="0" collapsed="false">
      <c r="T59" s="15" t="s">
        <v>269</v>
      </c>
      <c r="U59" s="15" t="n">
        <f aca="false">IF($U$39=1,INDEX($DD$3:$DD$3,$U$16),INDEX($DD$23:$DD$23,$U$17))</f>
        <v>1</v>
      </c>
    </row>
    <row r="60" customFormat="false" ht="15" hidden="false" customHeight="false" outlineLevel="0" collapsed="false">
      <c r="T60" s="15" t="s">
        <v>270</v>
      </c>
      <c r="U60" s="15" t="n">
        <f aca="false">IF($U$39=1,INDEX($DE$3:$DE$3,$U$16),INDEX($DE$23:$DE$23,$U$17))</f>
        <v>1</v>
      </c>
    </row>
    <row r="61" customFormat="false" ht="15" hidden="false" customHeight="false" outlineLevel="0" collapsed="false">
      <c r="T61" s="15" t="s">
        <v>271</v>
      </c>
      <c r="U61" s="15" t="n">
        <f aca="false">IF($U$39=1,$U$16,$U$17)</f>
        <v>1</v>
      </c>
    </row>
    <row r="62" customFormat="false" ht="15" hidden="false" customHeight="false" outlineLevel="0" collapsed="false">
      <c r="T62" s="15" t="s">
        <v>272</v>
      </c>
      <c r="U62" s="15" t="n">
        <f aca="false">IF($U$39=1,$U$9,$V$9)</f>
        <v>0</v>
      </c>
    </row>
    <row r="63" customFormat="false" ht="15" hidden="false" customHeight="false" outlineLevel="0" collapsed="false">
      <c r="T63" s="15" t="s">
        <v>273</v>
      </c>
      <c r="U63" s="15" t="n">
        <f aca="false">IF($U$39=1,$U$20,$U$25)</f>
        <v>140</v>
      </c>
    </row>
    <row r="64" customFormat="false" ht="15" hidden="false" customHeight="false" outlineLevel="0" collapsed="false">
      <c r="T64" s="15" t="s">
        <v>274</v>
      </c>
      <c r="U64" s="15" t="n">
        <f aca="false">IF($U$39=1,$U$21,$U$26)</f>
        <v>4</v>
      </c>
    </row>
    <row r="65" customFormat="false" ht="15" hidden="false" customHeight="false" outlineLevel="0" collapsed="false">
      <c r="T65" s="15" t="s">
        <v>275</v>
      </c>
      <c r="U65" s="15" t="n">
        <f aca="false">IF($U$39=1,$U$32,$U$35)</f>
        <v>1</v>
      </c>
    </row>
    <row r="66" customFormat="false" ht="15" hidden="false" customHeight="false" outlineLevel="0" collapsed="false">
      <c r="T66" s="15" t="s">
        <v>276</v>
      </c>
      <c r="U66" s="15" t="n">
        <f aca="false">IF($U$39=1,$U$33,$U$36)</f>
        <v>1</v>
      </c>
    </row>
    <row r="67" customFormat="false" ht="15" hidden="false" customHeight="false" outlineLevel="0" collapsed="false">
      <c r="T67" s="15" t="s">
        <v>278</v>
      </c>
      <c r="U67" s="15" t="n">
        <f aca="false">IF($U$39=1,$U$34,$U$37)</f>
        <v>1</v>
      </c>
    </row>
    <row r="68" customFormat="false" ht="15" hidden="false" customHeight="false" outlineLevel="0" collapsed="false">
      <c r="T68" s="15" t="s">
        <v>188</v>
      </c>
      <c r="U68" s="15" t="n">
        <f aca="false">$U$40+$U$63</f>
        <v>420</v>
      </c>
    </row>
    <row r="69" customFormat="false" ht="15" hidden="false" customHeight="false" outlineLevel="0" collapsed="false">
      <c r="T69" s="15" t="s">
        <v>279</v>
      </c>
      <c r="U69" s="15" t="n">
        <f aca="false">IF($U$68&gt;=300,1,0)</f>
        <v>1</v>
      </c>
    </row>
    <row r="70" customFormat="false" ht="15" hidden="false" customHeight="false" outlineLevel="0" collapsed="false">
      <c r="T70" s="0" t="s">
        <v>280</v>
      </c>
      <c r="U70" s="0" t="n">
        <f aca="false">IF($U$50*$U$67*$U$69=1,1,0)</f>
        <v>1</v>
      </c>
    </row>
    <row r="71" customFormat="false" ht="15" hidden="false" customHeight="false" outlineLevel="0" collapsed="false">
      <c r="T71" s="0" t="s">
        <v>281</v>
      </c>
      <c r="U71" s="0" t="n">
        <f aca="false">IF($U$68&lt;300,"",MAX(10,MIN(40,INT((1020-$U$68)/18))))</f>
        <v>33</v>
      </c>
    </row>
    <row r="72" customFormat="false" ht="15" hidden="false" customHeight="false" outlineLevel="0" collapsed="false">
      <c r="T72" s="0" t="s">
        <v>282</v>
      </c>
      <c r="U72" s="0" t="n">
        <f aca="false">IF($U$71="",MAX(0,300-$U$68),IF($U$71&gt;10,1021-18*$U$71-$U$68,""))</f>
        <v>7</v>
      </c>
    </row>
    <row r="73" customFormat="false" ht="15" hidden="false" customHeight="false" outlineLevel="0" collapsed="false">
      <c r="T73" s="0" t="s">
        <v>283</v>
      </c>
      <c r="U73" s="0" t="n">
        <f aca="false">IF($U$71="","",$U$68-IF($U$71&gt;=40,300,1020-18*($U$71+1)+1))</f>
        <v>11</v>
      </c>
    </row>
  </sheetData>
  <sheetProtection sheet="true" formatCells="false" formatColumns="false" formatRows="false"/>
  <mergeCells count="1">
    <mergeCell ref="M6:N6"/>
  </mergeCells>
  <conditionalFormatting sqref="E6:H24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9">
    <cfRule type="expression" priority="5" aboveAverage="0" equalAverage="0" bottom="0" percent="0" rank="0" text="" dxfId="3">
      <formula>AND(ISNUMBER(I6),I6&lt;5)</formula>
    </cfRule>
  </conditionalFormatting>
  <conditionalFormatting sqref="M19:M26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3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8 E9:I9 E11:H24 I26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1:D24" type="list">
      <formula1>"x"</formula1>
      <formula2>0</formula2>
    </dataValidation>
    <dataValidation allowBlank="true" error="Bitte eine ganze Zahl von 0 bis 15 eingeben." errorStyle="stop" errorTitle="Punkte" operator="between" showDropDown="false" showErrorMessage="false" showInputMessage="false" sqref="E27" type="whole">
      <formula1>0</formula1>
      <formula2>15</formula2>
    </dataValidation>
  </dataValidations>
  <hyperlinks>
    <hyperlink ref="B37" r:id="rId2" display="https://www.transparenz.bremen.de/sixcms/detail.php?gsid=bremen2014_tp.c.192657.de&amp;template=00_html_to_pdf_d"/>
    <hyperlink ref="B39" r:id="rId3" display="Online-Rechner Bremen mit Statistik und PDF-Download: https://www.abi-rechner.com/bundeslander/bremen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Bremen · abi-rechner.com · Stand September 2026</oddFooter>
  </headerFooter>
  <legacy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360</v>
      </c>
      <c r="T1" s="15" t="s">
        <v>72</v>
      </c>
      <c r="BZ1" s="15" t="s">
        <v>73</v>
      </c>
      <c r="CA1" s="15" t="s">
        <v>74</v>
      </c>
      <c r="CB1" s="15" t="s">
        <v>75</v>
      </c>
      <c r="CC1" s="15" t="s">
        <v>76</v>
      </c>
    </row>
    <row r="2" customFormat="false" ht="15" hidden="false" customHeight="false" outlineLevel="0" collapsed="false">
      <c r="B2" s="2" t="s">
        <v>361</v>
      </c>
      <c r="T2" s="15" t="s">
        <v>78</v>
      </c>
      <c r="U2" s="15" t="n">
        <f aca="false">IFERROR(AVERAGE($E$6:$H$24),7)</f>
        <v>7</v>
      </c>
      <c r="BZ2" s="15" t="n">
        <f aca="false">IFERROR(LARGE($AH$6:$AK$24,1),0)</f>
        <v>0</v>
      </c>
      <c r="CA2" s="15" t="n">
        <f aca="false">BZ2</f>
        <v>0</v>
      </c>
      <c r="CB2" s="15" t="n">
        <f aca="false">IFERROR(LARGE($AM$6:$AP$24,1),0)</f>
        <v>0</v>
      </c>
      <c r="CC2" s="15" t="n">
        <f aca="false">CB2</f>
        <v>0</v>
      </c>
      <c r="CE2" s="15" t="s">
        <v>79</v>
      </c>
      <c r="CF2" s="15" t="s">
        <v>80</v>
      </c>
      <c r="CG2" s="15" t="s">
        <v>81</v>
      </c>
      <c r="CH2" s="15" t="s">
        <v>82</v>
      </c>
      <c r="CI2" s="15" t="s">
        <v>83</v>
      </c>
      <c r="CJ2" s="15" t="s">
        <v>84</v>
      </c>
      <c r="CK2" s="15" t="s">
        <v>85</v>
      </c>
      <c r="CL2" s="15" t="s">
        <v>86</v>
      </c>
      <c r="CM2" s="15" t="s">
        <v>87</v>
      </c>
      <c r="CN2" s="15" t="s">
        <v>88</v>
      </c>
      <c r="CO2" s="15" t="s">
        <v>89</v>
      </c>
      <c r="CP2" s="15" t="s">
        <v>90</v>
      </c>
      <c r="CQ2" s="15" t="s">
        <v>91</v>
      </c>
      <c r="CR2" s="15" t="s">
        <v>92</v>
      </c>
      <c r="CS2" s="15" t="s">
        <v>93</v>
      </c>
      <c r="CT2" s="15" t="s">
        <v>94</v>
      </c>
      <c r="CU2" s="15" t="s">
        <v>95</v>
      </c>
      <c r="CV2" s="15" t="s">
        <v>96</v>
      </c>
      <c r="CW2" s="15" t="s">
        <v>97</v>
      </c>
      <c r="CX2" s="15" t="s">
        <v>98</v>
      </c>
      <c r="CY2" s="15" t="s">
        <v>99</v>
      </c>
      <c r="CZ2" s="15" t="s">
        <v>100</v>
      </c>
      <c r="DA2" s="15" t="s">
        <v>101</v>
      </c>
      <c r="DB2" s="15" t="s">
        <v>102</v>
      </c>
      <c r="DC2" s="15" t="s">
        <v>103</v>
      </c>
      <c r="DD2" s="15" t="s">
        <v>104</v>
      </c>
      <c r="DE2" s="15" t="s">
        <v>105</v>
      </c>
      <c r="DF2" s="15" t="s">
        <v>106</v>
      </c>
      <c r="DG2" s="15" t="s">
        <v>107</v>
      </c>
      <c r="DH2" s="15" t="s">
        <v>108</v>
      </c>
    </row>
    <row r="3" customFormat="false" ht="15" hidden="false" customHeight="false" outlineLevel="0" collapsed="false">
      <c r="B3" s="16" t="s">
        <v>109</v>
      </c>
      <c r="T3" s="15" t="s">
        <v>110</v>
      </c>
      <c r="U3" s="15" t="n">
        <f aca="false">IFERROR(AVERAGE($I$6:$I$9),$U$2)</f>
        <v>7</v>
      </c>
      <c r="BZ3" s="15" t="n">
        <f aca="false">IFERROR(LARGE($AH$6:$AK$24,2),0)</f>
        <v>0</v>
      </c>
      <c r="CA3" s="15" t="n">
        <f aca="false">CA2+BZ3</f>
        <v>0</v>
      </c>
      <c r="CB3" s="15" t="n">
        <f aca="false">IFERROR(LARGE($AM$6:$AP$24,2),0)</f>
        <v>0</v>
      </c>
      <c r="CC3" s="15" t="n">
        <f aca="false">CC2+CB3</f>
        <v>0</v>
      </c>
      <c r="CE3" s="15" t="n">
        <f aca="false">32</f>
        <v>32</v>
      </c>
      <c r="CF3" s="15" t="n">
        <f aca="false">CE3-$U$5-$U$6-0</f>
        <v>16</v>
      </c>
      <c r="CG3" s="15" t="n">
        <f aca="false">MAX(0,CF3)</f>
        <v>16</v>
      </c>
      <c r="CH3" s="15" t="n">
        <f aca="false">MIN(CG3,$U$7)</f>
        <v>0</v>
      </c>
      <c r="CI3" s="15" t="n">
        <f aca="false">CG3-CH3</f>
        <v>16</v>
      </c>
      <c r="CJ3" s="15" t="n">
        <f aca="false">0</f>
        <v>0</v>
      </c>
      <c r="CK3" s="15" t="n">
        <f aca="false">$U$5+CH3+CJ3</f>
        <v>0</v>
      </c>
      <c r="CL3" s="15" t="n">
        <f aca="false">2*AW6+2*AX6+2*AW7+2*AX7</f>
        <v>0</v>
      </c>
      <c r="CM3" s="15" t="n">
        <f aca="false">2*AY6+2*AZ6+2*AY7+2*AZ7+1*AY8+1*AZ8+1*AY9+1*AZ9+SUM($AA$11:$AA$24)</f>
        <v>0</v>
      </c>
      <c r="CN3" s="15" t="n">
        <f aca="false">IF(CH3=0,0,INDEX($CA$2:$CA$57,CH3))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IF(CP3&gt;0,MIN(600,INT((CO3/CP3*40)+0.5+0.000000001)),0)</f>
        <v>0</v>
      </c>
      <c r="CR3" s="15" t="n">
        <f aca="false">$U$9+CT3</f>
        <v>0</v>
      </c>
      <c r="CS3" s="15" t="n">
        <f aca="false">IF(CK3&lt;32,6,IF(CK3&gt;40,8,CHOOSE(CK3-31,6,6,6,7,7,7,7,7,8)))</f>
        <v>6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1</f>
        <v>1</v>
      </c>
      <c r="CY3" s="15" t="n">
        <f aca="false">1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32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111</v>
      </c>
      <c r="U4" s="15" t="n">
        <f aca="false">IF(COUNT($E$6:$H$24,$I$6:$I$9)&gt;0,1,0)</f>
        <v>0</v>
      </c>
      <c r="BZ4" s="15" t="n">
        <f aca="false">IFERROR(LARGE($AH$6:$AK$24,3),0)</f>
        <v>0</v>
      </c>
      <c r="CA4" s="15" t="n">
        <f aca="false">CA3+BZ4</f>
        <v>0</v>
      </c>
      <c r="CB4" s="15" t="n">
        <f aca="false">IFERROR(LARGE($AM$6:$AP$24,3),0)</f>
        <v>0</v>
      </c>
      <c r="CC4" s="15" t="n">
        <f aca="false">CC3+CB4</f>
        <v>0</v>
      </c>
      <c r="CE4" s="15" t="n">
        <f aca="false">33</f>
        <v>33</v>
      </c>
      <c r="CF4" s="15" t="n">
        <f aca="false">CE4-$U$5-$U$6-0</f>
        <v>17</v>
      </c>
      <c r="CG4" s="15" t="n">
        <f aca="false">MAX(0,CF4)</f>
        <v>17</v>
      </c>
      <c r="CH4" s="15" t="n">
        <f aca="false">MIN(CG4,$U$7)</f>
        <v>0</v>
      </c>
      <c r="CI4" s="15" t="n">
        <f aca="false">CG4-CH4</f>
        <v>17</v>
      </c>
      <c r="CJ4" s="15" t="n">
        <f aca="false">0</f>
        <v>0</v>
      </c>
      <c r="CK4" s="15" t="n">
        <f aca="false">$U$5+CH4+CJ4</f>
        <v>0</v>
      </c>
      <c r="CL4" s="15" t="n">
        <f aca="false">2*AW6+2*AX6+2*AW7+2*AX7</f>
        <v>0</v>
      </c>
      <c r="CM4" s="15" t="n">
        <f aca="false">2*AY6+2*AZ6+2*AY7+2*AZ7+1*AY8+1*AZ8+1*AY9+1*AZ9+SUM($AA$11:$AA$24)</f>
        <v>0</v>
      </c>
      <c r="CN4" s="15" t="n">
        <f aca="false">IF(CH4=0,0,INDEX($CA$2:$CA$57,CH4))</f>
        <v>0</v>
      </c>
      <c r="CO4" s="15" t="n">
        <f aca="false">CL4+$U$11+CN4+CJ4*$U$2</f>
        <v>0</v>
      </c>
      <c r="CP4" s="15" t="n">
        <f aca="false">CM4+CH4+CJ4</f>
        <v>0</v>
      </c>
      <c r="CQ4" s="15" t="n">
        <f aca="false">IF(CP4&gt;0,MIN(600,INT((CO4/CP4*40)+0.5+0.000000001)),0)</f>
        <v>0</v>
      </c>
      <c r="CR4" s="15" t="n">
        <f aca="false">$U$9+CT4</f>
        <v>0</v>
      </c>
      <c r="CS4" s="15" t="n">
        <f aca="false">IF(CK4&lt;32,6,IF(CK4&gt;40,8,CHOOSE(CK4-31,6,6,6,7,7,7,7,7,8)))</f>
        <v>6</v>
      </c>
      <c r="CT4" s="15" t="n">
        <f aca="false">$U$10+MAX(0,CH4-$U$8)+CJ4*IF($U$2&lt;5,1,0)</f>
        <v>0</v>
      </c>
      <c r="CU4" s="15" t="n">
        <f aca="false">$U$11+CN4+CJ4*$U$2</f>
        <v>0</v>
      </c>
      <c r="CV4" s="15" t="n">
        <f aca="false">IF(CQ4&gt;=200,1,0)</f>
        <v>0</v>
      </c>
      <c r="CW4" s="15" t="n">
        <f aca="false">IF(CR4&lt;=CS4,1,0)</f>
        <v>1</v>
      </c>
      <c r="CX4" s="15" t="n">
        <f aca="false">1</f>
        <v>1</v>
      </c>
      <c r="CY4" s="15" t="n">
        <f aca="false">1</f>
        <v>1</v>
      </c>
      <c r="CZ4" s="15" t="n">
        <f aca="false">1</f>
        <v>1</v>
      </c>
      <c r="DA4" s="15" t="n">
        <f aca="false">1</f>
        <v>1</v>
      </c>
      <c r="DB4" s="15" t="n">
        <f aca="false">IF($U$12=0,1,0)</f>
        <v>1</v>
      </c>
      <c r="DC4" s="15" t="n">
        <f aca="false">1</f>
        <v>1</v>
      </c>
      <c r="DD4" s="15" t="n">
        <f aca="false">1</f>
        <v>1</v>
      </c>
      <c r="DE4" s="15" t="n">
        <f aca="false">IF(CF4&lt;0,0,1)</f>
        <v>1</v>
      </c>
      <c r="DF4" s="15" t="n">
        <f aca="false">IF(CV4*CW4*CX4*CY4*CZ4*DA4*DB4*DC4*DD4*DE4=1,1,0)</f>
        <v>0</v>
      </c>
      <c r="DG4" s="15" t="n">
        <f aca="false">$U$6+CI4</f>
        <v>33</v>
      </c>
      <c r="DH4" s="15" t="n">
        <f aca="false">DF4*1000000+CQ4*100+(100-CK4)</f>
        <v>100</v>
      </c>
    </row>
    <row r="5" customFormat="false" ht="30" hidden="false" customHeight="true" outlineLevel="0" collapsed="false">
      <c r="B5" s="17" t="s">
        <v>9</v>
      </c>
      <c r="C5" s="17" t="s">
        <v>112</v>
      </c>
      <c r="D5" s="18"/>
      <c r="E5" s="18" t="s">
        <v>113</v>
      </c>
      <c r="F5" s="18" t="s">
        <v>114</v>
      </c>
      <c r="G5" s="18" t="s">
        <v>115</v>
      </c>
      <c r="H5" s="18" t="s">
        <v>116</v>
      </c>
      <c r="I5" s="18" t="s">
        <v>11</v>
      </c>
      <c r="J5" s="18" t="s">
        <v>117</v>
      </c>
      <c r="L5" s="19" t="s">
        <v>118</v>
      </c>
      <c r="M5" s="20"/>
      <c r="N5" s="20"/>
      <c r="T5" s="15" t="s">
        <v>119</v>
      </c>
      <c r="U5" s="15" t="n">
        <f aca="false">AY6+AY7+AY8+AY9+AZ6+AZ7+AZ8+AZ9+SUM($AA$11:$AA$24)</f>
        <v>0</v>
      </c>
      <c r="V5" s="15" t="n">
        <f aca="false">BG6+BG7+BG8+BG9+BH6+BH7+BH8+BH9+SUM($AE$11:$AE$24)</f>
        <v>16</v>
      </c>
      <c r="AH5" s="15" t="s">
        <v>120</v>
      </c>
      <c r="AM5" s="15" t="s">
        <v>121</v>
      </c>
      <c r="AR5" s="15" t="s">
        <v>122</v>
      </c>
      <c r="AW5" s="15" t="s">
        <v>123</v>
      </c>
      <c r="AX5" s="15" t="s">
        <v>124</v>
      </c>
      <c r="AY5" s="15" t="s">
        <v>125</v>
      </c>
      <c r="AZ5" s="15" t="s">
        <v>126</v>
      </c>
      <c r="BA5" s="15" t="s">
        <v>127</v>
      </c>
      <c r="BB5" s="15" t="s">
        <v>128</v>
      </c>
      <c r="BC5" s="15" t="s">
        <v>129</v>
      </c>
      <c r="BD5" s="15" t="s">
        <v>130</v>
      </c>
      <c r="BE5" s="15" t="s">
        <v>131</v>
      </c>
      <c r="BF5" s="15" t="s">
        <v>132</v>
      </c>
      <c r="BG5" s="15" t="s">
        <v>133</v>
      </c>
      <c r="BH5" s="15" t="s">
        <v>134</v>
      </c>
      <c r="BI5" s="15" t="s">
        <v>135</v>
      </c>
      <c r="BJ5" s="15" t="s">
        <v>136</v>
      </c>
      <c r="BK5" s="15" t="s">
        <v>137</v>
      </c>
      <c r="BL5" s="15" t="s">
        <v>138</v>
      </c>
      <c r="BN5" s="15" t="s">
        <v>139</v>
      </c>
      <c r="BO5" s="15" t="s">
        <v>140</v>
      </c>
      <c r="BP5" s="15" t="s">
        <v>141</v>
      </c>
      <c r="BQ5" s="15" t="s">
        <v>128</v>
      </c>
      <c r="BR5" s="15" t="s">
        <v>142</v>
      </c>
      <c r="BT5" s="15" t="s">
        <v>143</v>
      </c>
      <c r="BU5" s="15" t="s">
        <v>144</v>
      </c>
      <c r="BV5" s="15" t="s">
        <v>145</v>
      </c>
      <c r="BW5" s="15" t="s">
        <v>136</v>
      </c>
      <c r="BX5" s="15" t="s">
        <v>146</v>
      </c>
      <c r="BZ5" s="15" t="n">
        <f aca="false">IFERROR(LARGE($AH$6:$AK$24,4),0)</f>
        <v>0</v>
      </c>
      <c r="CA5" s="15" t="n">
        <f aca="false">CA4+BZ5</f>
        <v>0</v>
      </c>
      <c r="CB5" s="15" t="n">
        <f aca="false">IFERROR(LARGE($AM$6:$AP$24,4),0)</f>
        <v>0</v>
      </c>
      <c r="CC5" s="15" t="n">
        <f aca="false">CC4+CB5</f>
        <v>0</v>
      </c>
      <c r="CE5" s="15" t="n">
        <f aca="false">34</f>
        <v>34</v>
      </c>
      <c r="CF5" s="15" t="n">
        <f aca="false">CE5-$U$5-$U$6-0</f>
        <v>18</v>
      </c>
      <c r="CG5" s="15" t="n">
        <f aca="false">MAX(0,CF5)</f>
        <v>18</v>
      </c>
      <c r="CH5" s="15" t="n">
        <f aca="false">MIN(CG5,$U$7)</f>
        <v>0</v>
      </c>
      <c r="CI5" s="15" t="n">
        <f aca="false">CG5-CH5</f>
        <v>18</v>
      </c>
      <c r="CJ5" s="15" t="n">
        <f aca="false">0</f>
        <v>0</v>
      </c>
      <c r="CK5" s="15" t="n">
        <f aca="false">$U$5+CH5+CJ5</f>
        <v>0</v>
      </c>
      <c r="CL5" s="15" t="n">
        <f aca="false">2*AW6+2*AX6+2*AW7+2*AX7</f>
        <v>0</v>
      </c>
      <c r="CM5" s="15" t="n">
        <f aca="false">2*AY6+2*AZ6+2*AY7+2*AZ7+1*AY8+1*AZ8+1*AY9+1*AZ9+SUM($AA$11:$AA$24)</f>
        <v>0</v>
      </c>
      <c r="CN5" s="15" t="n">
        <f aca="false">IF(CH5=0,0,INDEX($CA$2:$CA$57,CH5))</f>
        <v>0</v>
      </c>
      <c r="CO5" s="15" t="n">
        <f aca="false">CL5+$U$11+CN5+CJ5*$U$2</f>
        <v>0</v>
      </c>
      <c r="CP5" s="15" t="n">
        <f aca="false">CM5+CH5+CJ5</f>
        <v>0</v>
      </c>
      <c r="CQ5" s="15" t="n">
        <f aca="false">IF(CP5&gt;0,MIN(600,INT((CO5/CP5*40)+0.5+0.000000001)),0)</f>
        <v>0</v>
      </c>
      <c r="CR5" s="15" t="n">
        <f aca="false">$U$9+CT5</f>
        <v>0</v>
      </c>
      <c r="CS5" s="15" t="n">
        <f aca="false">IF(CK5&lt;32,6,IF(CK5&gt;40,8,CHOOSE(CK5-31,6,6,6,7,7,7,7,7,8)))</f>
        <v>6</v>
      </c>
      <c r="CT5" s="15" t="n">
        <f aca="false">$U$10+MAX(0,CH5-$U$8)+CJ5*IF($U$2&lt;5,1,0)</f>
        <v>0</v>
      </c>
      <c r="CU5" s="15" t="n">
        <f aca="false">$U$11+CN5+CJ5*$U$2</f>
        <v>0</v>
      </c>
      <c r="CV5" s="15" t="n">
        <f aca="false">IF(CQ5&gt;=200,1,0)</f>
        <v>0</v>
      </c>
      <c r="CW5" s="15" t="n">
        <f aca="false">IF(CR5&lt;=CS5,1,0)</f>
        <v>1</v>
      </c>
      <c r="CX5" s="15" t="n">
        <f aca="false">1</f>
        <v>1</v>
      </c>
      <c r="CY5" s="15" t="n">
        <f aca="false">1</f>
        <v>1</v>
      </c>
      <c r="CZ5" s="15" t="n">
        <f aca="false">1</f>
        <v>1</v>
      </c>
      <c r="DA5" s="15" t="n">
        <f aca="false">1</f>
        <v>1</v>
      </c>
      <c r="DB5" s="15" t="n">
        <f aca="false">IF($U$12=0,1,0)</f>
        <v>1</v>
      </c>
      <c r="DC5" s="15" t="n">
        <f aca="false">1</f>
        <v>1</v>
      </c>
      <c r="DD5" s="15" t="n">
        <f aca="false">1</f>
        <v>1</v>
      </c>
      <c r="DE5" s="15" t="n">
        <f aca="false">IF(CF5&lt;0,0,1)</f>
        <v>1</v>
      </c>
      <c r="DF5" s="15" t="n">
        <f aca="false">IF(CV5*CW5*CX5*CY5*CZ5*DA5*DB5*DC5*DD5*DE5=1,1,0)</f>
        <v>0</v>
      </c>
      <c r="DG5" s="15" t="n">
        <f aca="false">$U$6+CI5</f>
        <v>34</v>
      </c>
      <c r="DH5" s="15" t="n">
        <f aca="false">DF5*1000000+CQ5*100+(100-CK5)</f>
        <v>100</v>
      </c>
    </row>
    <row r="6" customFormat="false" ht="39.75" hidden="false" customHeight="true" outlineLevel="0" collapsed="false">
      <c r="B6" s="21" t="s">
        <v>362</v>
      </c>
      <c r="C6" s="22"/>
      <c r="D6" s="23" t="s">
        <v>148</v>
      </c>
      <c r="E6" s="24"/>
      <c r="F6" s="24"/>
      <c r="G6" s="24"/>
      <c r="H6" s="24"/>
      <c r="I6" s="25"/>
      <c r="J6" s="24"/>
      <c r="L6" s="26" t="s">
        <v>149</v>
      </c>
      <c r="M6" s="27" t="str">
        <f aca="false">IF($U$4=0,"Noch keine Eingaben – trag deine Punkte in die gelben Felder ein.",IF($U$36=1,"Endergebnis (alle Felder ausgefüllt)","Prognose: "&amp;$U$35&amp;" Felder offen, gefüllt mit deinem Schnitt von "&amp;FIXED($U$2,1)&amp;" Punkten"))</f>
        <v>Noch keine Eingaben – trag deine Punkte in die gelben Felder ein.</v>
      </c>
      <c r="N6" s="27"/>
      <c r="T6" s="15" t="s">
        <v>150</v>
      </c>
      <c r="U6" s="15" t="n">
        <f aca="false">BC6+BC7+BC8+BC9</f>
        <v>16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IF(BN6="","",IF(ISNUMBER($J$6),INT(((2*BN6+$J$6)/3*$U$16)+0.5+0.000000001),BN6*$U$16))</f>
        <v/>
      </c>
      <c r="BP6" s="15" t="n">
        <f aca="false">IF(BO6="",0,IF(BO6&gt;=5*$U$16-0.000000001,1,0))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IF(BT6="","",IF(ISNUMBER($J$6),INT(((2*BT6+$J$6)/3*$U$16)+0.5+0.000000001),BT6*$U$16))</f>
        <v>35</v>
      </c>
      <c r="BV6" s="15" t="n">
        <f aca="false">IF(BU6="",0,IF(BU6&gt;=5*$U$16-0.000000001,1,0))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IFERROR(LARGE($AH$6:$AK$24,5),0)</f>
        <v>0</v>
      </c>
      <c r="CA6" s="15" t="n">
        <f aca="false">CA5+BZ6</f>
        <v>0</v>
      </c>
      <c r="CB6" s="15" t="n">
        <f aca="false">IFERROR(LARGE($AM$6:$AP$24,5),0)</f>
        <v>0</v>
      </c>
      <c r="CC6" s="15" t="n">
        <f aca="false">CC5+CB6</f>
        <v>0</v>
      </c>
      <c r="CE6" s="15" t="n">
        <f aca="false">35</f>
        <v>35</v>
      </c>
      <c r="CF6" s="15" t="n">
        <f aca="false">CE6-$U$5-$U$6-0</f>
        <v>19</v>
      </c>
      <c r="CG6" s="15" t="n">
        <f aca="false">MAX(0,CF6)</f>
        <v>19</v>
      </c>
      <c r="CH6" s="15" t="n">
        <f aca="false">MIN(CG6,$U$7)</f>
        <v>0</v>
      </c>
      <c r="CI6" s="15" t="n">
        <f aca="false">CG6-CH6</f>
        <v>19</v>
      </c>
      <c r="CJ6" s="15" t="n">
        <f aca="false">0</f>
        <v>0</v>
      </c>
      <c r="CK6" s="15" t="n">
        <f aca="false">$U$5+CH6+CJ6</f>
        <v>0</v>
      </c>
      <c r="CL6" s="15" t="n">
        <f aca="false">2*AW6+2*AX6+2*AW7+2*AX7</f>
        <v>0</v>
      </c>
      <c r="CM6" s="15" t="n">
        <f aca="false">2*AY6+2*AZ6+2*AY7+2*AZ7+1*AY8+1*AZ8+1*AY9+1*AZ9+SUM($AA$11:$AA$24)</f>
        <v>0</v>
      </c>
      <c r="CN6" s="15" t="n">
        <f aca="false">IF(CH6=0,0,INDEX($CA$2:$CA$57,CH6))</f>
        <v>0</v>
      </c>
      <c r="CO6" s="15" t="n">
        <f aca="false">CL6+$U$11+CN6+CJ6*$U$2</f>
        <v>0</v>
      </c>
      <c r="CP6" s="15" t="n">
        <f aca="false">CM6+CH6+CJ6</f>
        <v>0</v>
      </c>
      <c r="CQ6" s="15" t="n">
        <f aca="false">IF(CP6&gt;0,MIN(600,INT((CO6/CP6*40)+0.5+0.000000001)),0)</f>
        <v>0</v>
      </c>
      <c r="CR6" s="15" t="n">
        <f aca="false">$U$9+CT6</f>
        <v>0</v>
      </c>
      <c r="CS6" s="15" t="n">
        <f aca="false">IF(CK6&lt;32,6,IF(CK6&gt;40,8,CHOOSE(CK6-31,6,6,6,7,7,7,7,7,8)))</f>
        <v>6</v>
      </c>
      <c r="CT6" s="15" t="n">
        <f aca="false">$U$10+MAX(0,CH6-$U$8)+CJ6*IF($U$2&lt;5,1,0)</f>
        <v>0</v>
      </c>
      <c r="CU6" s="15" t="n">
        <f aca="false">$U$11+CN6+CJ6*$U$2</f>
        <v>0</v>
      </c>
      <c r="CV6" s="15" t="n">
        <f aca="false">IF(CQ6&gt;=200,1,0)</f>
        <v>0</v>
      </c>
      <c r="CW6" s="15" t="n">
        <f aca="false">IF(CR6&lt;=CS6,1,0)</f>
        <v>1</v>
      </c>
      <c r="CX6" s="15" t="n">
        <f aca="false">1</f>
        <v>1</v>
      </c>
      <c r="CY6" s="15" t="n">
        <f aca="false">1</f>
        <v>1</v>
      </c>
      <c r="CZ6" s="15" t="n">
        <f aca="false">1</f>
        <v>1</v>
      </c>
      <c r="DA6" s="15" t="n">
        <f aca="false">1</f>
        <v>1</v>
      </c>
      <c r="DB6" s="15" t="n">
        <f aca="false">IF($U$12=0,1,0)</f>
        <v>1</v>
      </c>
      <c r="DC6" s="15" t="n">
        <f aca="false">1</f>
        <v>1</v>
      </c>
      <c r="DD6" s="15" t="n">
        <f aca="false">1</f>
        <v>1</v>
      </c>
      <c r="DE6" s="15" t="n">
        <f aca="false">IF(CF6&lt;0,0,1)</f>
        <v>1</v>
      </c>
      <c r="DF6" s="15" t="n">
        <f aca="false">IF(CV6*CW6*CX6*CY6*CZ6*DA6*DB6*DC6*DD6*DE6=1,1,0)</f>
        <v>0</v>
      </c>
      <c r="DG6" s="15" t="n">
        <f aca="false">$U$6+CI6</f>
        <v>35</v>
      </c>
      <c r="DH6" s="15" t="n">
        <f aca="false">DF6*1000000+CQ6*100+(100-CK6)</f>
        <v>100</v>
      </c>
    </row>
    <row r="7" customFormat="false" ht="37.5" hidden="false" customHeight="true" outlineLevel="0" collapsed="false">
      <c r="B7" s="21" t="s">
        <v>363</v>
      </c>
      <c r="C7" s="22"/>
      <c r="D7" s="23" t="s">
        <v>148</v>
      </c>
      <c r="E7" s="24"/>
      <c r="F7" s="24"/>
      <c r="G7" s="24"/>
      <c r="H7" s="24"/>
      <c r="I7" s="25"/>
      <c r="J7" s="24"/>
      <c r="L7" s="26" t="s">
        <v>152</v>
      </c>
      <c r="M7" s="28" t="str">
        <f aca="false">IF($U$4=0,"",$U$37)</f>
        <v/>
      </c>
      <c r="N7" s="29" t="s">
        <v>153</v>
      </c>
      <c r="T7" s="15" t="s">
        <v>154</v>
      </c>
      <c r="U7" s="15" t="n">
        <f aca="false">COUNT($AH$6:$AK$24)</f>
        <v>0</v>
      </c>
      <c r="V7" s="15" t="n">
        <f aca="false">COUNT($AM$6:$AP$24)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IF(BN7="","",IF(ISNUMBER($J$7),INT(((2*BN7+$J$7)/3*$U$16)+0.5+0.000000001),BN7*$U$16))</f>
        <v/>
      </c>
      <c r="BP7" s="15" t="n">
        <f aca="false">IF(BO7="",0,IF(BO7&gt;=5*$U$16-0.000000001,1,0))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IF(BT7="","",IF(ISNUMBER($J$7),INT(((2*BT7+$J$7)/3*$U$16)+0.5+0.000000001),BT7*$U$16))</f>
        <v>35</v>
      </c>
      <c r="BV7" s="15" t="n">
        <f aca="false">IF(BU7="",0,IF(BU7&gt;=5*$U$16-0.000000001,1,0))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IFERROR(LARGE($AH$6:$AK$24,6),0)</f>
        <v>0</v>
      </c>
      <c r="CA7" s="15" t="n">
        <f aca="false">CA6+BZ7</f>
        <v>0</v>
      </c>
      <c r="CB7" s="15" t="n">
        <f aca="false">IFERROR(LARGE($AM$6:$AP$24,6),0)</f>
        <v>0</v>
      </c>
      <c r="CC7" s="15" t="n">
        <f aca="false">CC6+CB7</f>
        <v>0</v>
      </c>
      <c r="CE7" s="15" t="n">
        <f aca="false">36</f>
        <v>36</v>
      </c>
      <c r="CF7" s="15" t="n">
        <f aca="false">CE7-$U$5-$U$6-0</f>
        <v>20</v>
      </c>
      <c r="CG7" s="15" t="n">
        <f aca="false">MAX(0,CF7)</f>
        <v>20</v>
      </c>
      <c r="CH7" s="15" t="n">
        <f aca="false">MIN(CG7,$U$7)</f>
        <v>0</v>
      </c>
      <c r="CI7" s="15" t="n">
        <f aca="false">CG7-CH7</f>
        <v>20</v>
      </c>
      <c r="CJ7" s="15" t="n">
        <f aca="false">0</f>
        <v>0</v>
      </c>
      <c r="CK7" s="15" t="n">
        <f aca="false">$U$5+CH7+CJ7</f>
        <v>0</v>
      </c>
      <c r="CL7" s="15" t="n">
        <f aca="false">2*AW6+2*AX6+2*AW7+2*AX7</f>
        <v>0</v>
      </c>
      <c r="CM7" s="15" t="n">
        <f aca="false">2*AY6+2*AZ6+2*AY7+2*AZ7+1*AY8+1*AZ8+1*AY9+1*AZ9+SUM($AA$11:$AA$24)</f>
        <v>0</v>
      </c>
      <c r="CN7" s="15" t="n">
        <f aca="false">IF(CH7=0,0,INDEX($CA$2:$CA$57,CH7))</f>
        <v>0</v>
      </c>
      <c r="CO7" s="15" t="n">
        <f aca="false">CL7+$U$11+CN7+CJ7*$U$2</f>
        <v>0</v>
      </c>
      <c r="CP7" s="15" t="n">
        <f aca="false">CM7+CH7+CJ7</f>
        <v>0</v>
      </c>
      <c r="CQ7" s="15" t="n">
        <f aca="false">IF(CP7&gt;0,MIN(600,INT((CO7/CP7*40)+0.5+0.000000001)),0)</f>
        <v>0</v>
      </c>
      <c r="CR7" s="15" t="n">
        <f aca="false">$U$9+CT7</f>
        <v>0</v>
      </c>
      <c r="CS7" s="15" t="n">
        <f aca="false">IF(CK7&lt;32,6,IF(CK7&gt;40,8,CHOOSE(CK7-31,6,6,6,7,7,7,7,7,8)))</f>
        <v>6</v>
      </c>
      <c r="CT7" s="15" t="n">
        <f aca="false">$U$10+MAX(0,CH7-$U$8)+CJ7*IF($U$2&lt;5,1,0)</f>
        <v>0</v>
      </c>
      <c r="CU7" s="15" t="n">
        <f aca="false">$U$11+CN7+CJ7*$U$2</f>
        <v>0</v>
      </c>
      <c r="CV7" s="15" t="n">
        <f aca="false">IF(CQ7&gt;=200,1,0)</f>
        <v>0</v>
      </c>
      <c r="CW7" s="15" t="n">
        <f aca="false">IF(CR7&lt;=CS7,1,0)</f>
        <v>1</v>
      </c>
      <c r="CX7" s="15" t="n">
        <f aca="false">1</f>
        <v>1</v>
      </c>
      <c r="CY7" s="15" t="n">
        <f aca="false">1</f>
        <v>1</v>
      </c>
      <c r="CZ7" s="15" t="n">
        <f aca="false">1</f>
        <v>1</v>
      </c>
      <c r="DA7" s="15" t="n">
        <f aca="false">1</f>
        <v>1</v>
      </c>
      <c r="DB7" s="15" t="n">
        <f aca="false">IF($U$12=0,1,0)</f>
        <v>1</v>
      </c>
      <c r="DC7" s="15" t="n">
        <f aca="false">1</f>
        <v>1</v>
      </c>
      <c r="DD7" s="15" t="n">
        <f aca="false">1</f>
        <v>1</v>
      </c>
      <c r="DE7" s="15" t="n">
        <f aca="false">IF(CF7&lt;0,0,1)</f>
        <v>1</v>
      </c>
      <c r="DF7" s="15" t="n">
        <f aca="false">IF(CV7*CW7*CX7*CY7*CZ7*DA7*DB7*DC7*DD7*DE7=1,1,0)</f>
        <v>0</v>
      </c>
      <c r="DG7" s="15" t="n">
        <f aca="false">$U$6+CI7</f>
        <v>36</v>
      </c>
      <c r="DH7" s="15" t="n">
        <f aca="false">DF7*1000000+CQ7*100+(100-CK7)</f>
        <v>100</v>
      </c>
    </row>
    <row r="8" customFormat="false" ht="37.5" hidden="false" customHeight="true" outlineLevel="0" collapsed="false">
      <c r="B8" s="21" t="s">
        <v>364</v>
      </c>
      <c r="C8" s="22"/>
      <c r="D8" s="23" t="s">
        <v>148</v>
      </c>
      <c r="E8" s="24"/>
      <c r="F8" s="24"/>
      <c r="G8" s="24"/>
      <c r="H8" s="24"/>
      <c r="I8" s="25"/>
      <c r="J8" s="24"/>
      <c r="L8" s="26" t="s">
        <v>156</v>
      </c>
      <c r="M8" s="28" t="str">
        <f aca="false">IF($U$4=0,"",$U$60)</f>
        <v/>
      </c>
      <c r="N8" s="29" t="s">
        <v>157</v>
      </c>
      <c r="T8" s="15" t="s">
        <v>158</v>
      </c>
      <c r="U8" s="15" t="n">
        <f aca="false">COUNTIF($AH$6:$AK$24,"&gt;=5")</f>
        <v>0</v>
      </c>
      <c r="V8" s="15" t="n">
        <f aca="false">COUNTIF($AM$6:$AP$24,"&gt;=5")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IF(BN8="","",IF(ISNUMBER($J$8),INT(((2*BN8+$J$8)/3*$U$16)+0.5+0.000000001),BN8*$U$16))</f>
        <v/>
      </c>
      <c r="BP8" s="15" t="n">
        <f aca="false">IF(BO8="",0,IF(BO8&gt;=5*$U$16-0.000000001,1,0))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IF(BT8="","",IF(ISNUMBER($J$8),INT(((2*BT8+$J$8)/3*$U$16)+0.5+0.000000001),BT8*$U$16))</f>
        <v>35</v>
      </c>
      <c r="BV8" s="15" t="n">
        <f aca="false">IF(BU8="",0,IF(BU8&gt;=5*$U$16-0.000000001,1,0))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IFERROR(LARGE($AH$6:$AK$24,7),0)</f>
        <v>0</v>
      </c>
      <c r="CA8" s="15" t="n">
        <f aca="false">CA7+BZ8</f>
        <v>0</v>
      </c>
      <c r="CB8" s="15" t="n">
        <f aca="false">IFERROR(LARGE($AM$6:$AP$24,7),0)</f>
        <v>0</v>
      </c>
      <c r="CC8" s="15" t="n">
        <f aca="false">CC7+CB8</f>
        <v>0</v>
      </c>
      <c r="CE8" s="15" t="n">
        <f aca="false">37</f>
        <v>37</v>
      </c>
      <c r="CF8" s="15" t="n">
        <f aca="false">CE8-$U$5-$U$6-0</f>
        <v>21</v>
      </c>
      <c r="CG8" s="15" t="n">
        <f aca="false">MAX(0,CF8)</f>
        <v>21</v>
      </c>
      <c r="CH8" s="15" t="n">
        <f aca="false">MIN(CG8,$U$7)</f>
        <v>0</v>
      </c>
      <c r="CI8" s="15" t="n">
        <f aca="false">CG8-CH8</f>
        <v>21</v>
      </c>
      <c r="CJ8" s="15" t="n">
        <f aca="false">0</f>
        <v>0</v>
      </c>
      <c r="CK8" s="15" t="n">
        <f aca="false">$U$5+CH8+CJ8</f>
        <v>0</v>
      </c>
      <c r="CL8" s="15" t="n">
        <f aca="false">2*AW6+2*AX6+2*AW7+2*AX7</f>
        <v>0</v>
      </c>
      <c r="CM8" s="15" t="n">
        <f aca="false">2*AY6+2*AZ6+2*AY7+2*AZ7+1*AY8+1*AZ8+1*AY9+1*AZ9+SUM($AA$11:$AA$24)</f>
        <v>0</v>
      </c>
      <c r="CN8" s="15" t="n">
        <f aca="false">IF(CH8=0,0,INDEX($CA$2:$CA$57,CH8))</f>
        <v>0</v>
      </c>
      <c r="CO8" s="15" t="n">
        <f aca="false">CL8+$U$11+CN8+CJ8*$U$2</f>
        <v>0</v>
      </c>
      <c r="CP8" s="15" t="n">
        <f aca="false">CM8+CH8+CJ8</f>
        <v>0</v>
      </c>
      <c r="CQ8" s="15" t="n">
        <f aca="false">IF(CP8&gt;0,MIN(600,INT((CO8/CP8*40)+0.5+0.000000001)),0)</f>
        <v>0</v>
      </c>
      <c r="CR8" s="15" t="n">
        <f aca="false">$U$9+CT8</f>
        <v>0</v>
      </c>
      <c r="CS8" s="15" t="n">
        <f aca="false">IF(CK8&lt;32,6,IF(CK8&gt;40,8,CHOOSE(CK8-31,6,6,6,7,7,7,7,7,8)))</f>
        <v>6</v>
      </c>
      <c r="CT8" s="15" t="n">
        <f aca="false">$U$10+MAX(0,CH8-$U$8)+CJ8*IF($U$2&lt;5,1,0)</f>
        <v>0</v>
      </c>
      <c r="CU8" s="15" t="n">
        <f aca="false">$U$11+CN8+CJ8*$U$2</f>
        <v>0</v>
      </c>
      <c r="CV8" s="15" t="n">
        <f aca="false">IF(CQ8&gt;=200,1,0)</f>
        <v>0</v>
      </c>
      <c r="CW8" s="15" t="n">
        <f aca="false">IF(CR8&lt;=CS8,1,0)</f>
        <v>1</v>
      </c>
      <c r="CX8" s="15" t="n">
        <f aca="false">1</f>
        <v>1</v>
      </c>
      <c r="CY8" s="15" t="n">
        <f aca="false">1</f>
        <v>1</v>
      </c>
      <c r="CZ8" s="15" t="n">
        <f aca="false">1</f>
        <v>1</v>
      </c>
      <c r="DA8" s="15" t="n">
        <f aca="false">1</f>
        <v>1</v>
      </c>
      <c r="DB8" s="15" t="n">
        <f aca="false">IF($U$12=0,1,0)</f>
        <v>1</v>
      </c>
      <c r="DC8" s="15" t="n">
        <f aca="false">1</f>
        <v>1</v>
      </c>
      <c r="DD8" s="15" t="n">
        <f aca="false">1</f>
        <v>1</v>
      </c>
      <c r="DE8" s="15" t="n">
        <f aca="false">IF(CF8&lt;0,0,1)</f>
        <v>1</v>
      </c>
      <c r="DF8" s="15" t="n">
        <f aca="false">IF(CV8*CW8*CX8*CY8*CZ8*DA8*DB8*DC8*DD8*DE8=1,1,0)</f>
        <v>0</v>
      </c>
      <c r="DG8" s="15" t="n">
        <f aca="false">$U$6+CI8</f>
        <v>37</v>
      </c>
      <c r="DH8" s="15" t="n">
        <f aca="false">DF8*1000000+CQ8*100+(100-CK8)</f>
        <v>100</v>
      </c>
    </row>
    <row r="9" customFormat="false" ht="37.5" hidden="false" customHeight="true" outlineLevel="0" collapsed="false">
      <c r="B9" s="21" t="s">
        <v>365</v>
      </c>
      <c r="C9" s="22"/>
      <c r="D9" s="23" t="s">
        <v>148</v>
      </c>
      <c r="E9" s="24"/>
      <c r="F9" s="24"/>
      <c r="G9" s="24"/>
      <c r="H9" s="24"/>
      <c r="I9" s="25"/>
      <c r="J9" s="30" t="s">
        <v>160</v>
      </c>
      <c r="L9" s="31" t="s">
        <v>161</v>
      </c>
      <c r="M9" s="32" t="str">
        <f aca="false">IF($U$4=0,"",$U$65)</f>
        <v/>
      </c>
      <c r="N9" s="29" t="s">
        <v>162</v>
      </c>
      <c r="T9" s="15" t="s">
        <v>163</v>
      </c>
      <c r="U9" s="15" t="n">
        <f aca="false">BA6+BA7</f>
        <v>0</v>
      </c>
      <c r="V9" s="15" t="n">
        <f aca="false">BI6+BI7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IF(BN9="","",BN9*$U$16)</f>
        <v/>
      </c>
      <c r="BP9" s="15" t="n">
        <f aca="false">IF(BO9="",0,IF(BO9&gt;=5*$U$16-0.000000001,1,0))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IF(BT9="","",BT9*$U$16)</f>
        <v>35</v>
      </c>
      <c r="BV9" s="15" t="n">
        <f aca="false">IF(BU9="",0,IF(BU9&gt;=5*$U$16-0.000000001,1,0))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IFERROR(LARGE($AH$6:$AK$24,8),0)</f>
        <v>0</v>
      </c>
      <c r="CA9" s="15" t="n">
        <f aca="false">CA8+BZ9</f>
        <v>0</v>
      </c>
      <c r="CB9" s="15" t="n">
        <f aca="false">IFERROR(LARGE($AM$6:$AP$24,8),0)</f>
        <v>0</v>
      </c>
      <c r="CC9" s="15" t="n">
        <f aca="false">CC8+CB9</f>
        <v>0</v>
      </c>
      <c r="CE9" s="15" t="n">
        <f aca="false">38</f>
        <v>38</v>
      </c>
      <c r="CF9" s="15" t="n">
        <f aca="false">CE9-$U$5-$U$6-0</f>
        <v>22</v>
      </c>
      <c r="CG9" s="15" t="n">
        <f aca="false">MAX(0,CF9)</f>
        <v>22</v>
      </c>
      <c r="CH9" s="15" t="n">
        <f aca="false">MIN(CG9,$U$7)</f>
        <v>0</v>
      </c>
      <c r="CI9" s="15" t="n">
        <f aca="false">CG9-CH9</f>
        <v>22</v>
      </c>
      <c r="CJ9" s="15" t="n">
        <f aca="false">0</f>
        <v>0</v>
      </c>
      <c r="CK9" s="15" t="n">
        <f aca="false">$U$5+CH9+CJ9</f>
        <v>0</v>
      </c>
      <c r="CL9" s="15" t="n">
        <f aca="false">2*AW6+2*AX6+2*AW7+2*AX7</f>
        <v>0</v>
      </c>
      <c r="CM9" s="15" t="n">
        <f aca="false">2*AY6+2*AZ6+2*AY7+2*AZ7+1*AY8+1*AZ8+1*AY9+1*AZ9+SUM($AA$11:$AA$24)</f>
        <v>0</v>
      </c>
      <c r="CN9" s="15" t="n">
        <f aca="false">IF(CH9=0,0,INDEX($CA$2:$CA$57,CH9))</f>
        <v>0</v>
      </c>
      <c r="CO9" s="15" t="n">
        <f aca="false">CL9+$U$11+CN9+CJ9*$U$2</f>
        <v>0</v>
      </c>
      <c r="CP9" s="15" t="n">
        <f aca="false">CM9+CH9+CJ9</f>
        <v>0</v>
      </c>
      <c r="CQ9" s="15" t="n">
        <f aca="false">IF(CP9&gt;0,MIN(600,INT((CO9/CP9*40)+0.5+0.000000001)),0)</f>
        <v>0</v>
      </c>
      <c r="CR9" s="15" t="n">
        <f aca="false">$U$9+CT9</f>
        <v>0</v>
      </c>
      <c r="CS9" s="15" t="n">
        <f aca="false">IF(CK9&lt;32,6,IF(CK9&gt;40,8,CHOOSE(CK9-31,6,6,6,7,7,7,7,7,8)))</f>
        <v>6</v>
      </c>
      <c r="CT9" s="15" t="n">
        <f aca="false">$U$10+MAX(0,CH9-$U$8)+CJ9*IF($U$2&lt;5,1,0)</f>
        <v>0</v>
      </c>
      <c r="CU9" s="15" t="n">
        <f aca="false">$U$11+CN9+CJ9*$U$2</f>
        <v>0</v>
      </c>
      <c r="CV9" s="15" t="n">
        <f aca="false">IF(CQ9&gt;=200,1,0)</f>
        <v>0</v>
      </c>
      <c r="CW9" s="15" t="n">
        <f aca="false">IF(CR9&lt;=CS9,1,0)</f>
        <v>1</v>
      </c>
      <c r="CX9" s="15" t="n">
        <f aca="false">1</f>
        <v>1</v>
      </c>
      <c r="CY9" s="15" t="n">
        <f aca="false">1</f>
        <v>1</v>
      </c>
      <c r="CZ9" s="15" t="n">
        <f aca="false">1</f>
        <v>1</v>
      </c>
      <c r="DA9" s="15" t="n">
        <f aca="false">1</f>
        <v>1</v>
      </c>
      <c r="DB9" s="15" t="n">
        <f aca="false">IF($U$12=0,1,0)</f>
        <v>1</v>
      </c>
      <c r="DC9" s="15" t="n">
        <f aca="false">1</f>
        <v>1</v>
      </c>
      <c r="DD9" s="15" t="n">
        <f aca="false">1</f>
        <v>1</v>
      </c>
      <c r="DE9" s="15" t="n">
        <f aca="false">IF(CF9&lt;0,0,1)</f>
        <v>1</v>
      </c>
      <c r="DF9" s="15" t="n">
        <f aca="false">IF(CV9*CW9*CX9*CY9*CZ9*DA9*DB9*DC9*DD9*DE9=1,1,0)</f>
        <v>0</v>
      </c>
      <c r="DG9" s="15" t="n">
        <f aca="false">$U$6+CI9</f>
        <v>38</v>
      </c>
      <c r="DH9" s="15" t="n">
        <f aca="false">DF9*1000000+CQ9*100+(100-CK9)</f>
        <v>100</v>
      </c>
    </row>
    <row r="10" customFormat="false" ht="27.75" hidden="false" customHeight="true" outlineLevel="0" collapsed="false">
      <c r="B10" s="6" t="s">
        <v>167</v>
      </c>
      <c r="C10" s="6" t="s">
        <v>112</v>
      </c>
      <c r="D10" s="34" t="s">
        <v>168</v>
      </c>
      <c r="E10" s="35" t="s">
        <v>113</v>
      </c>
      <c r="F10" s="35" t="s">
        <v>114</v>
      </c>
      <c r="G10" s="35" t="s">
        <v>115</v>
      </c>
      <c r="H10" s="35" t="s">
        <v>116</v>
      </c>
      <c r="I10" s="20"/>
      <c r="J10" s="20"/>
      <c r="L10" s="31" t="s">
        <v>165</v>
      </c>
      <c r="M10" s="33" t="str">
        <f aca="false">IF($U$4=0,"",IF($U$67=1,$U$68/10,"nicht bestanden"))</f>
        <v/>
      </c>
      <c r="N10" s="29"/>
      <c r="T10" s="15" t="s">
        <v>166</v>
      </c>
      <c r="U10" s="15" t="n">
        <f aca="false">BA8+BA9+SUM($AB$11:$AB$24)</f>
        <v>0</v>
      </c>
      <c r="V10" s="15" t="n">
        <f aca="false">BI8+BI9+SUM($AF$11:$AF$24)</f>
        <v>0</v>
      </c>
      <c r="X10" s="15" t="s">
        <v>171</v>
      </c>
      <c r="Y10" s="15" t="s">
        <v>172</v>
      </c>
      <c r="Z10" s="15" t="s">
        <v>173</v>
      </c>
      <c r="AA10" s="15" t="s">
        <v>174</v>
      </c>
      <c r="AB10" s="15" t="s">
        <v>127</v>
      </c>
      <c r="AC10" s="15" t="s">
        <v>128</v>
      </c>
      <c r="AD10" s="15" t="s">
        <v>175</v>
      </c>
      <c r="AE10" s="15" t="s">
        <v>176</v>
      </c>
      <c r="AF10" s="15" t="s">
        <v>135</v>
      </c>
      <c r="BZ10" s="15" t="n">
        <f aca="false">IFERROR(LARGE($AH$6:$AK$24,9),0)</f>
        <v>0</v>
      </c>
      <c r="CA10" s="15" t="n">
        <f aca="false">CA9+BZ10</f>
        <v>0</v>
      </c>
      <c r="CB10" s="15" t="n">
        <f aca="false">IFERROR(LARGE($AM$6:$AP$24,9),0)</f>
        <v>0</v>
      </c>
      <c r="CC10" s="15" t="n">
        <f aca="false">CC9+CB10</f>
        <v>0</v>
      </c>
      <c r="CE10" s="15" t="n">
        <f aca="false">39</f>
        <v>39</v>
      </c>
      <c r="CF10" s="15" t="n">
        <f aca="false">CE10-$U$5-$U$6-0</f>
        <v>23</v>
      </c>
      <c r="CG10" s="15" t="n">
        <f aca="false">MAX(0,CF10)</f>
        <v>23</v>
      </c>
      <c r="CH10" s="15" t="n">
        <f aca="false">MIN(CG10,$U$7)</f>
        <v>0</v>
      </c>
      <c r="CI10" s="15" t="n">
        <f aca="false">CG10-CH10</f>
        <v>23</v>
      </c>
      <c r="CJ10" s="15" t="n">
        <f aca="false">0</f>
        <v>0</v>
      </c>
      <c r="CK10" s="15" t="n">
        <f aca="false">$U$5+CH10+CJ10</f>
        <v>0</v>
      </c>
      <c r="CL10" s="15" t="n">
        <f aca="false">2*AW6+2*AX6+2*AW7+2*AX7</f>
        <v>0</v>
      </c>
      <c r="CM10" s="15" t="n">
        <f aca="false">2*AY6+2*AZ6+2*AY7+2*AZ7+1*AY8+1*AZ8+1*AY9+1*AZ9+SUM($AA$11:$AA$24)</f>
        <v>0</v>
      </c>
      <c r="CN10" s="15" t="n">
        <f aca="false">IF(CH10=0,0,INDEX($CA$2:$CA$57,CH10))</f>
        <v>0</v>
      </c>
      <c r="CO10" s="15" t="n">
        <f aca="false">CL10+$U$11+CN10+CJ10*$U$2</f>
        <v>0</v>
      </c>
      <c r="CP10" s="15" t="n">
        <f aca="false">CM10+CH10+CJ10</f>
        <v>0</v>
      </c>
      <c r="CQ10" s="15" t="n">
        <f aca="false">IF(CP10&gt;0,MIN(600,INT((CO10/CP10*40)+0.5+0.000000001)),0)</f>
        <v>0</v>
      </c>
      <c r="CR10" s="15" t="n">
        <f aca="false">$U$9+CT10</f>
        <v>0</v>
      </c>
      <c r="CS10" s="15" t="n">
        <f aca="false">IF(CK10&lt;32,6,IF(CK10&gt;40,8,CHOOSE(CK10-31,6,6,6,7,7,7,7,7,8)))</f>
        <v>6</v>
      </c>
      <c r="CT10" s="15" t="n">
        <f aca="false">$U$10+MAX(0,CH10-$U$8)+CJ10*IF($U$2&lt;5,1,0)</f>
        <v>0</v>
      </c>
      <c r="CU10" s="15" t="n">
        <f aca="false">$U$11+CN10+CJ10*$U$2</f>
        <v>0</v>
      </c>
      <c r="CV10" s="15" t="n">
        <f aca="false">IF(CQ10&gt;=200,1,0)</f>
        <v>0</v>
      </c>
      <c r="CW10" s="15" t="n">
        <f aca="false">IF(CR10&lt;=CS10,1,0)</f>
        <v>1</v>
      </c>
      <c r="CX10" s="15" t="n">
        <f aca="false">1</f>
        <v>1</v>
      </c>
      <c r="CY10" s="15" t="n">
        <f aca="false">1</f>
        <v>1</v>
      </c>
      <c r="CZ10" s="15" t="n">
        <f aca="false">1</f>
        <v>1</v>
      </c>
      <c r="DA10" s="15" t="n">
        <f aca="false">1</f>
        <v>1</v>
      </c>
      <c r="DB10" s="15" t="n">
        <f aca="false">IF($U$12=0,1,0)</f>
        <v>1</v>
      </c>
      <c r="DC10" s="15" t="n">
        <f aca="false">1</f>
        <v>1</v>
      </c>
      <c r="DD10" s="15" t="n">
        <f aca="false">1</f>
        <v>1</v>
      </c>
      <c r="DE10" s="15" t="n">
        <f aca="false">IF(CF10&lt;0,0,1)</f>
        <v>1</v>
      </c>
      <c r="DF10" s="15" t="n">
        <f aca="false">IF(CV10*CW10*CX10*CY10*CZ10*DA10*DB10*DC10*DD10*DE10=1,1,0)</f>
        <v>0</v>
      </c>
      <c r="DG10" s="15" t="n">
        <f aca="false">$U$6+CI10</f>
        <v>39</v>
      </c>
      <c r="DH10" s="15" t="n">
        <f aca="false">DF10*1000000+CQ10*100+(100-CK10)</f>
        <v>100</v>
      </c>
    </row>
    <row r="11" customFormat="false" ht="15" hidden="false" customHeight="false" outlineLevel="0" collapsed="false">
      <c r="B11" s="36" t="s">
        <v>177</v>
      </c>
      <c r="C11" s="37"/>
      <c r="D11" s="38"/>
      <c r="E11" s="24"/>
      <c r="F11" s="24"/>
      <c r="G11" s="24"/>
      <c r="H11" s="24"/>
      <c r="I11" s="39"/>
      <c r="J11" s="39"/>
      <c r="L11" s="26" t="s">
        <v>169</v>
      </c>
      <c r="M11" s="28" t="str">
        <f aca="false">IF($U$4=0,"",IF($U$69="","–",$U$69))</f>
        <v/>
      </c>
      <c r="N11" s="29" t="str">
        <f aca="false">IF($U$4=0,"",IF($U$68="","Punkte bis 300",IF($U$69="","Bestnote erreicht","Punkte → "&amp;FIXED(($U$68-1)/10,1))))</f>
        <v/>
      </c>
      <c r="T11" s="15" t="s">
        <v>170</v>
      </c>
      <c r="U11" s="15" t="n">
        <f aca="false">AW8+AW9+AX8+AX9+SUM($Z$11:$Z$24)</f>
        <v>0</v>
      </c>
      <c r="V11" s="15" t="n">
        <f aca="false">BE8+BE9+BF8+BF9+SUM($AD$11:$AD$24)</f>
        <v>56</v>
      </c>
      <c r="X11" s="15" t="n">
        <f aca="false">IF(OR(LEN(TRIM(C11))&gt;0,COUNT(E11:H11)&gt;0),1,0)</f>
        <v>0</v>
      </c>
      <c r="Y11" s="15" t="n">
        <f aca="false">IF(LEN(TRIM(D11))&gt;0,1,0)</f>
        <v>0</v>
      </c>
      <c r="Z11" s="15" t="n">
        <f aca="false">Y11*SUM(E11:H11)</f>
        <v>0</v>
      </c>
      <c r="AA11" s="15" t="n">
        <f aca="false">Y11*COUNT(E11:H11)</f>
        <v>0</v>
      </c>
      <c r="AB11" s="15" t="n">
        <f aca="false">Y11*COUNTIF(E11:H11,"&lt;5")</f>
        <v>0</v>
      </c>
      <c r="AC11" s="15" t="n">
        <f aca="false">Y11*COUNTIF(E11:H11,0)</f>
        <v>0</v>
      </c>
      <c r="AD11" s="15" t="n">
        <f aca="false">Y11*(SUM(E11:H11)+X11*$U$2*(4-COUNT(E11:H11)))</f>
        <v>0</v>
      </c>
      <c r="AE11" s="15" t="n">
        <f aca="false">Y11*(COUNT(E11:H11)+X11*(4-COUNT(E11:H11)))</f>
        <v>0</v>
      </c>
      <c r="AF11" s="15" t="n">
        <f aca="false">Y11*(COUNTIF(E11:H11,"&lt;5")+X11*IF($U$2&lt;5,1,0)*(4-COUNT(E11:H11)))</f>
        <v>0</v>
      </c>
      <c r="AH11" s="15" t="str">
        <f aca="false">IF(Y11=1,"",IF(ISNUMBER(E11),IF(E11=0,"",E11),""))</f>
        <v/>
      </c>
      <c r="AI11" s="15" t="str">
        <f aca="false">IF(Y11=1,"",IF(ISNUMBER(F11),IF(F11=0,"",F11),""))</f>
        <v/>
      </c>
      <c r="AJ11" s="15" t="str">
        <f aca="false">IF(Y11=1,"",IF(ISNUMBER(G11),IF(G11=0,"",G11),""))</f>
        <v/>
      </c>
      <c r="AK11" s="15" t="str">
        <f aca="false">IF(Y11=1,"",IF(ISNUMBER(H11),IF(H11=0,"",H11),""))</f>
        <v/>
      </c>
      <c r="AM11" s="15" t="str">
        <f aca="false">IF(Y11=1,"",IF(ISNUMBER(E11),IF(E11=0,"",E11),IF(X11=1,$U$2,"")))</f>
        <v/>
      </c>
      <c r="AN11" s="15" t="str">
        <f aca="false">IF(Y11=1,"",IF(ISNUMBER(F11),IF(F11=0,"",F11),IF(X11=1,$U$2,"")))</f>
        <v/>
      </c>
      <c r="AO11" s="15" t="str">
        <f aca="false">IF(Y11=1,"",IF(ISNUMBER(G11),IF(G11=0,"",G11),IF(X11=1,$U$2,"")))</f>
        <v/>
      </c>
      <c r="AP11" s="15" t="str">
        <f aca="false">IF(Y11=1,"",IF(ISNUMBER(H11),IF(H11=0,"",H11),IF(X11=1,$U$2,"")))</f>
        <v/>
      </c>
      <c r="AR11" s="15" t="n">
        <f aca="false">IF(Y11=1,IF(ISNUMBER(E11),1,0),IF(AH11="",0,IF(IF($U$36=1,COUNTIF($AH$6:$AK$24,"&gt;"&amp;AH11),COUNTIF($AM$6:$AP$24,"&gt;"&amp;AH11))+COUNTIF($AH$6:$AK$10,AH11)+1&lt;=$U$46,1,0)))</f>
        <v>0</v>
      </c>
      <c r="AS11" s="15" t="n">
        <f aca="false">IF(Y11=1,IF(ISNUMBER(F11),1,0),IF(AI11="",0,IF(IF($U$36=1,COUNTIF($AH$6:$AK$24,"&gt;"&amp;AI11),COUNTIF($AM$6:$AP$24,"&gt;"&amp;AI11))+COUNTIF($AH$6:$AK$10,AI11)+COUNTIF($AH11:AH11,AI11)+1&lt;=$U$46,1,0)))</f>
        <v>0</v>
      </c>
      <c r="AT11" s="15" t="n">
        <f aca="false">IF(Y11=1,IF(ISNUMBER(G11),1,0),IF(AJ11="",0,IF(IF($U$36=1,COUNTIF($AH$6:$AK$24,"&gt;"&amp;AJ11),COUNTIF($AM$6:$AP$24,"&gt;"&amp;AJ11))+COUNTIF($AH$6:$AK$10,AJ11)+COUNTIF($AH11:AI11,AJ11)+1&lt;=$U$46,1,0)))</f>
        <v>0</v>
      </c>
      <c r="AU11" s="15" t="n">
        <f aca="false">IF(Y11=1,IF(ISNUMBER(H11),1,0),IF(AK11="",0,IF(IF($U$36=1,COUNTIF($AH$6:$AK$24,"&gt;"&amp;AK11),COUNTIF($AM$6:$AP$24,"&gt;"&amp;AK11))+COUNTIF($AH$6:$AK$10,AK11)+COUNTIF($AH11:AJ11,AK11)+1&lt;=$U$46,1,0)))</f>
        <v>0</v>
      </c>
      <c r="BZ11" s="15" t="n">
        <f aca="false">IFERROR(LARGE($AH$6:$AK$24,10),0)</f>
        <v>0</v>
      </c>
      <c r="CA11" s="15" t="n">
        <f aca="false">CA10+BZ11</f>
        <v>0</v>
      </c>
      <c r="CB11" s="15" t="n">
        <f aca="false">IFERROR(LARGE($AM$6:$AP$24,10),0)</f>
        <v>0</v>
      </c>
      <c r="CC11" s="15" t="n">
        <f aca="false">CC10+CB11</f>
        <v>0</v>
      </c>
      <c r="CE11" s="15" t="n">
        <f aca="false">40</f>
        <v>40</v>
      </c>
      <c r="CF11" s="15" t="n">
        <f aca="false">CE11-$U$5-$U$6-0</f>
        <v>24</v>
      </c>
      <c r="CG11" s="15" t="n">
        <f aca="false">MAX(0,CF11)</f>
        <v>24</v>
      </c>
      <c r="CH11" s="15" t="n">
        <f aca="false">MIN(CG11,$U$7)</f>
        <v>0</v>
      </c>
      <c r="CI11" s="15" t="n">
        <f aca="false">CG11-CH11</f>
        <v>24</v>
      </c>
      <c r="CJ11" s="15" t="n">
        <f aca="false">0</f>
        <v>0</v>
      </c>
      <c r="CK11" s="15" t="n">
        <f aca="false">$U$5+CH11+CJ11</f>
        <v>0</v>
      </c>
      <c r="CL11" s="15" t="n">
        <f aca="false">2*AW6+2*AX6+2*AW7+2*AX7</f>
        <v>0</v>
      </c>
      <c r="CM11" s="15" t="n">
        <f aca="false">2*AY6+2*AZ6+2*AY7+2*AZ7+1*AY8+1*AZ8+1*AY9+1*AZ9+SUM($AA$11:$AA$24)</f>
        <v>0</v>
      </c>
      <c r="CN11" s="15" t="n">
        <f aca="false">IF(CH11=0,0,INDEX($CA$2:$CA$57,CH11))</f>
        <v>0</v>
      </c>
      <c r="CO11" s="15" t="n">
        <f aca="false">CL11+$U$11+CN11+CJ11*$U$2</f>
        <v>0</v>
      </c>
      <c r="CP11" s="15" t="n">
        <f aca="false">CM11+CH11+CJ11</f>
        <v>0</v>
      </c>
      <c r="CQ11" s="15" t="n">
        <f aca="false">IF(CP11&gt;0,MIN(600,INT((CO11/CP11*40)+0.5+0.000000001)),0)</f>
        <v>0</v>
      </c>
      <c r="CR11" s="15" t="n">
        <f aca="false">$U$9+CT11</f>
        <v>0</v>
      </c>
      <c r="CS11" s="15" t="n">
        <f aca="false">IF(CK11&lt;32,6,IF(CK11&gt;40,8,CHOOSE(CK11-31,6,6,6,7,7,7,7,7,8)))</f>
        <v>6</v>
      </c>
      <c r="CT11" s="15" t="n">
        <f aca="false">$U$10+MAX(0,CH11-$U$8)+CJ11*IF($U$2&lt;5,1,0)</f>
        <v>0</v>
      </c>
      <c r="CU11" s="15" t="n">
        <f aca="false">$U$11+CN11+CJ11*$U$2</f>
        <v>0</v>
      </c>
      <c r="CV11" s="15" t="n">
        <f aca="false">IF(CQ11&gt;=200,1,0)</f>
        <v>0</v>
      </c>
      <c r="CW11" s="15" t="n">
        <f aca="false">IF(CR11&lt;=CS11,1,0)</f>
        <v>1</v>
      </c>
      <c r="CX11" s="15" t="n">
        <f aca="false">1</f>
        <v>1</v>
      </c>
      <c r="CY11" s="15" t="n">
        <f aca="false">1</f>
        <v>1</v>
      </c>
      <c r="CZ11" s="15" t="n">
        <f aca="false">1</f>
        <v>1</v>
      </c>
      <c r="DA11" s="15" t="n">
        <f aca="false">1</f>
        <v>1</v>
      </c>
      <c r="DB11" s="15" t="n">
        <f aca="false">IF($U$12=0,1,0)</f>
        <v>1</v>
      </c>
      <c r="DC11" s="15" t="n">
        <f aca="false">1</f>
        <v>1</v>
      </c>
      <c r="DD11" s="15" t="n">
        <f aca="false">1</f>
        <v>1</v>
      </c>
      <c r="DE11" s="15" t="n">
        <f aca="false">IF(CF11&lt;0,0,1)</f>
        <v>1</v>
      </c>
      <c r="DF11" s="15" t="n">
        <f aca="false">IF(CV11*CW11*CX11*CY11*CZ11*DA11*DB11*DC11*DD11*DE11=1,1,0)</f>
        <v>0</v>
      </c>
      <c r="DG11" s="15" t="n">
        <f aca="false">$U$6+CI11</f>
        <v>40</v>
      </c>
      <c r="DH11" s="15" t="n">
        <f aca="false">DF11*1000000+CQ11*100+(100-CK11)</f>
        <v>100</v>
      </c>
    </row>
    <row r="12" customFormat="false" ht="15" hidden="false" customHeight="false" outlineLevel="0" collapsed="false">
      <c r="B12" s="36" t="s">
        <v>180</v>
      </c>
      <c r="C12" s="37"/>
      <c r="D12" s="38"/>
      <c r="E12" s="24"/>
      <c r="F12" s="24"/>
      <c r="G12" s="24"/>
      <c r="H12" s="24"/>
      <c r="I12" s="39"/>
      <c r="J12" s="39"/>
      <c r="L12" s="26" t="s">
        <v>178</v>
      </c>
      <c r="M12" s="28" t="str">
        <f aca="false">IF(OR($U$4=0,$U$70=""),"",$U$70)</f>
        <v/>
      </c>
      <c r="N12" s="29" t="str">
        <f aca="false">IF(OR($U$4=0,$U$70=""),"","Punkte Luft")</f>
        <v/>
      </c>
      <c r="T12" s="15" t="s">
        <v>179</v>
      </c>
      <c r="U12" s="15" t="n">
        <f aca="false">BB6+BB7+BB8+BB9+SUM($AC$11:$AC$24)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IF(Y12=1,IF(ISNUMBER(E12),1,0),IF(AH12="",0,IF(IF($U$36=1,COUNTIF($AH$6:$AK$24,"&gt;"&amp;AH12),COUNTIF($AM$6:$AP$24,"&gt;"&amp;AH12))+COUNTIF($AH$6:$AK$11,AH12)+1&lt;=$U$46,1,0)))</f>
        <v>0</v>
      </c>
      <c r="AS12" s="15" t="n">
        <f aca="false">IF(Y12=1,IF(ISNUMBER(F12),1,0),IF(AI12="",0,IF(IF($U$36=1,COUNTIF($AH$6:$AK$24,"&gt;"&amp;AI12),COUNTIF($AM$6:$AP$24,"&gt;"&amp;AI12))+COUNTIF($AH$6:$AK$11,AI12)+COUNTIF($AH12:AH12,AI12)+1&lt;=$U$46,1,0)))</f>
        <v>0</v>
      </c>
      <c r="AT12" s="15" t="n">
        <f aca="false">IF(Y12=1,IF(ISNUMBER(G12),1,0),IF(AJ12="",0,IF(IF($U$36=1,COUNTIF($AH$6:$AK$24,"&gt;"&amp;AJ12),COUNTIF($AM$6:$AP$24,"&gt;"&amp;AJ12))+COUNTIF($AH$6:$AK$11,AJ12)+COUNTIF($AH12:AI12,AJ12)+1&lt;=$U$46,1,0)))</f>
        <v>0</v>
      </c>
      <c r="AU12" s="15" t="n">
        <f aca="false">IF(Y12=1,IF(ISNUMBER(H12),1,0),IF(AK12="",0,IF(IF($U$36=1,COUNTIF($AH$6:$AK$24,"&gt;"&amp;AK12),COUNTIF($AM$6:$AP$24,"&gt;"&amp;AK12))+COUNTIF($AH$6:$AK$11,AK12)+COUNTIF($AH12:AJ12,AK12)+1&lt;=$U$46,1,0)))</f>
        <v>0</v>
      </c>
      <c r="BZ12" s="15" t="n">
        <f aca="false">IFERROR(LARGE($AH$6:$AK$24,11),0)</f>
        <v>0</v>
      </c>
      <c r="CA12" s="15" t="n">
        <f aca="false">CA11+BZ12</f>
        <v>0</v>
      </c>
      <c r="CB12" s="15" t="n">
        <f aca="false">IFERROR(LARGE($AM$6:$AP$24,11),0)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183</v>
      </c>
      <c r="C13" s="37"/>
      <c r="D13" s="38"/>
      <c r="E13" s="24"/>
      <c r="F13" s="24"/>
      <c r="G13" s="24"/>
      <c r="H13" s="24"/>
      <c r="I13" s="39"/>
      <c r="J13" s="39"/>
      <c r="L13" s="26" t="s">
        <v>181</v>
      </c>
      <c r="M13" s="28" t="str">
        <f aca="false">IF($U$4=0,"",$U$38)</f>
        <v/>
      </c>
      <c r="N13" s="29" t="str">
        <f aca="false">IF($U$4=0,"","Formel: "&amp;FIXED($U$45,1)&amp;" / "&amp;$U$44&amp;" × 40")</f>
        <v/>
      </c>
      <c r="T13" s="15" t="s">
        <v>182</v>
      </c>
      <c r="U13" s="15" t="n">
        <f aca="false">MATCH(MAX($DH$3:$DH$11),$DH$3:$DH$11,0)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IF(Y13=1,IF(ISNUMBER(E13),1,0),IF(AH13="",0,IF(IF($U$36=1,COUNTIF($AH$6:$AK$24,"&gt;"&amp;AH13),COUNTIF($AM$6:$AP$24,"&gt;"&amp;AH13))+COUNTIF($AH$6:$AK$12,AH13)+1&lt;=$U$46,1,0)))</f>
        <v>0</v>
      </c>
      <c r="AS13" s="15" t="n">
        <f aca="false">IF(Y13=1,IF(ISNUMBER(F13),1,0),IF(AI13="",0,IF(IF($U$36=1,COUNTIF($AH$6:$AK$24,"&gt;"&amp;AI13),COUNTIF($AM$6:$AP$24,"&gt;"&amp;AI13))+COUNTIF($AH$6:$AK$12,AI13)+COUNTIF($AH13:AH13,AI13)+1&lt;=$U$46,1,0)))</f>
        <v>0</v>
      </c>
      <c r="AT13" s="15" t="n">
        <f aca="false">IF(Y13=1,IF(ISNUMBER(G13),1,0),IF(AJ13="",0,IF(IF($U$36=1,COUNTIF($AH$6:$AK$24,"&gt;"&amp;AJ13),COUNTIF($AM$6:$AP$24,"&gt;"&amp;AJ13))+COUNTIF($AH$6:$AK$12,AJ13)+COUNTIF($AH13:AI13,AJ13)+1&lt;=$U$46,1,0)))</f>
        <v>0</v>
      </c>
      <c r="AU13" s="15" t="n">
        <f aca="false">IF(Y13=1,IF(ISNUMBER(H13),1,0),IF(AK13="",0,IF(IF($U$36=1,COUNTIF($AH$6:$AK$24,"&gt;"&amp;AK13),COUNTIF($AM$6:$AP$24,"&gt;"&amp;AK13))+COUNTIF($AH$6:$AK$12,AK13)+COUNTIF($AH13:AJ13,AK13)+1&lt;=$U$46,1,0)))</f>
        <v>0</v>
      </c>
      <c r="BZ13" s="15" t="n">
        <f aca="false">IFERROR(LARGE($AH$6:$AK$24,12),0)</f>
        <v>0</v>
      </c>
      <c r="CA13" s="15" t="n">
        <f aca="false">CA12+BZ13</f>
        <v>0</v>
      </c>
      <c r="CB13" s="15" t="n">
        <f aca="false">IFERROR(LARGE($AM$6:$AP$24,12),0)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186</v>
      </c>
      <c r="C14" s="37"/>
      <c r="D14" s="38"/>
      <c r="E14" s="24"/>
      <c r="F14" s="24"/>
      <c r="G14" s="24"/>
      <c r="H14" s="24"/>
      <c r="I14" s="39"/>
      <c r="J14" s="39"/>
      <c r="L14" s="26" t="s">
        <v>184</v>
      </c>
      <c r="M14" s="28" t="str">
        <f aca="false">IF($U$4=0,"",$U$39)</f>
        <v/>
      </c>
      <c r="N14" s="29" t="str">
        <f aca="false">IF($U$4=0,"","erlaubt: höchstens "&amp;$U$40)</f>
        <v/>
      </c>
      <c r="T14" s="15" t="s">
        <v>185</v>
      </c>
      <c r="U14" s="15" t="n">
        <f aca="false">MATCH(MAX($DH$23:$DH$31),$DH$23:$DH$31,0)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IF(Y14=1,IF(ISNUMBER(E14),1,0),IF(AH14="",0,IF(IF($U$36=1,COUNTIF($AH$6:$AK$24,"&gt;"&amp;AH14),COUNTIF($AM$6:$AP$24,"&gt;"&amp;AH14))+COUNTIF($AH$6:$AK$13,AH14)+1&lt;=$U$46,1,0)))</f>
        <v>0</v>
      </c>
      <c r="AS14" s="15" t="n">
        <f aca="false">IF(Y14=1,IF(ISNUMBER(F14),1,0),IF(AI14="",0,IF(IF($U$36=1,COUNTIF($AH$6:$AK$24,"&gt;"&amp;AI14),COUNTIF($AM$6:$AP$24,"&gt;"&amp;AI14))+COUNTIF($AH$6:$AK$13,AI14)+COUNTIF($AH14:AH14,AI14)+1&lt;=$U$46,1,0)))</f>
        <v>0</v>
      </c>
      <c r="AT14" s="15" t="n">
        <f aca="false">IF(Y14=1,IF(ISNUMBER(G14),1,0),IF(AJ14="",0,IF(IF($U$36=1,COUNTIF($AH$6:$AK$24,"&gt;"&amp;AJ14),COUNTIF($AM$6:$AP$24,"&gt;"&amp;AJ14))+COUNTIF($AH$6:$AK$13,AJ14)+COUNTIF($AH14:AI14,AJ14)+1&lt;=$U$46,1,0)))</f>
        <v>0</v>
      </c>
      <c r="AU14" s="15" t="n">
        <f aca="false">IF(Y14=1,IF(ISNUMBER(H14),1,0),IF(AK14="",0,IF(IF($U$36=1,COUNTIF($AH$6:$AK$24,"&gt;"&amp;AK14),COUNTIF($AM$6:$AP$24,"&gt;"&amp;AK14))+COUNTIF($AH$6:$AK$13,AK14)+COUNTIF($AH14:AJ14,AK14)+1&lt;=$U$46,1,0)))</f>
        <v>0</v>
      </c>
      <c r="BZ14" s="15" t="n">
        <f aca="false">IFERROR(LARGE($AH$6:$AK$24,13),0)</f>
        <v>0</v>
      </c>
      <c r="CA14" s="15" t="n">
        <f aca="false">CA13+BZ14</f>
        <v>0</v>
      </c>
      <c r="CB14" s="15" t="n">
        <f aca="false">IFERROR(LARGE($AM$6:$AP$24,13),0)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190</v>
      </c>
      <c r="C15" s="37"/>
      <c r="D15" s="38"/>
      <c r="E15" s="24"/>
      <c r="F15" s="24"/>
      <c r="G15" s="24"/>
      <c r="H15" s="24"/>
      <c r="I15" s="39"/>
      <c r="J15" s="39"/>
      <c r="L15" s="26" t="s">
        <v>187</v>
      </c>
      <c r="M15" s="28" t="str">
        <f aca="false">IF($U$4=0,"","+"&amp;$U$16)</f>
        <v/>
      </c>
      <c r="N15" s="29" t="s">
        <v>188</v>
      </c>
      <c r="T15" s="15" t="s">
        <v>337</v>
      </c>
      <c r="U15" s="15" t="n">
        <f aca="false">IF(ISNUMBER($I$26),1,0)</f>
        <v>0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IF(Y15=1,IF(ISNUMBER(E15),1,0),IF(AH15="",0,IF(IF($U$36=1,COUNTIF($AH$6:$AK$24,"&gt;"&amp;AH15),COUNTIF($AM$6:$AP$24,"&gt;"&amp;AH15))+COUNTIF($AH$6:$AK$14,AH15)+1&lt;=$U$46,1,0)))</f>
        <v>0</v>
      </c>
      <c r="AS15" s="15" t="n">
        <f aca="false">IF(Y15=1,IF(ISNUMBER(F15),1,0),IF(AI15="",0,IF(IF($U$36=1,COUNTIF($AH$6:$AK$24,"&gt;"&amp;AI15),COUNTIF($AM$6:$AP$24,"&gt;"&amp;AI15))+COUNTIF($AH$6:$AK$14,AI15)+COUNTIF($AH15:AH15,AI15)+1&lt;=$U$46,1,0)))</f>
        <v>0</v>
      </c>
      <c r="AT15" s="15" t="n">
        <f aca="false">IF(Y15=1,IF(ISNUMBER(G15),1,0),IF(AJ15="",0,IF(IF($U$36=1,COUNTIF($AH$6:$AK$24,"&gt;"&amp;AJ15),COUNTIF($AM$6:$AP$24,"&gt;"&amp;AJ15))+COUNTIF($AH$6:$AK$14,AJ15)+COUNTIF($AH15:AI15,AJ15)+1&lt;=$U$46,1,0)))</f>
        <v>0</v>
      </c>
      <c r="AU15" s="15" t="n">
        <f aca="false">IF(Y15=1,IF(ISNUMBER(H15),1,0),IF(AK15="",0,IF(IF($U$36=1,COUNTIF($AH$6:$AK$24,"&gt;"&amp;AK15),COUNTIF($AM$6:$AP$24,"&gt;"&amp;AK15))+COUNTIF($AH$6:$AK$14,AK15)+COUNTIF($AH15:AJ15,AK15)+1&lt;=$U$46,1,0)))</f>
        <v>0</v>
      </c>
      <c r="BZ15" s="15" t="n">
        <f aca="false">IFERROR(LARGE($AH$6:$AK$24,14),0)</f>
        <v>0</v>
      </c>
      <c r="CA15" s="15" t="n">
        <f aca="false">CA14+BZ15</f>
        <v>0</v>
      </c>
      <c r="CB15" s="15" t="n">
        <f aca="false">IFERROR(LARGE($AM$6:$AP$24,14),0)</f>
        <v>0</v>
      </c>
      <c r="CC15" s="15" t="n">
        <f aca="false">CC14+CB15</f>
        <v>0</v>
      </c>
    </row>
    <row r="16" customFormat="false" ht="15" hidden="false" customHeight="false" outlineLevel="0" collapsed="false">
      <c r="B16" s="36" t="s">
        <v>194</v>
      </c>
      <c r="C16" s="37"/>
      <c r="D16" s="38"/>
      <c r="E16" s="24"/>
      <c r="F16" s="24"/>
      <c r="G16" s="24"/>
      <c r="H16" s="24"/>
      <c r="I16" s="39"/>
      <c r="J16" s="39"/>
      <c r="L16" s="26" t="s">
        <v>191</v>
      </c>
      <c r="M16" s="28" t="str">
        <f aca="false">IF($U$4=0,"","≈ +"&amp;FIXED(40/$U$44,2))</f>
        <v/>
      </c>
      <c r="N16" s="29" t="s">
        <v>192</v>
      </c>
      <c r="T16" s="15" t="s">
        <v>189</v>
      </c>
      <c r="U16" s="15" t="n">
        <f aca="false">IF($U$15=1,4,5)</f>
        <v>5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IF(Y16=1,IF(ISNUMBER(E16),1,0),IF(AH16="",0,IF(IF($U$36=1,COUNTIF($AH$6:$AK$24,"&gt;"&amp;AH16),COUNTIF($AM$6:$AP$24,"&gt;"&amp;AH16))+COUNTIF($AH$6:$AK$15,AH16)+1&lt;=$U$46,1,0)))</f>
        <v>0</v>
      </c>
      <c r="AS16" s="15" t="n">
        <f aca="false">IF(Y16=1,IF(ISNUMBER(F16),1,0),IF(AI16="",0,IF(IF($U$36=1,COUNTIF($AH$6:$AK$24,"&gt;"&amp;AI16),COUNTIF($AM$6:$AP$24,"&gt;"&amp;AI16))+COUNTIF($AH$6:$AK$15,AI16)+COUNTIF($AH16:AH16,AI16)+1&lt;=$U$46,1,0)))</f>
        <v>0</v>
      </c>
      <c r="AT16" s="15" t="n">
        <f aca="false">IF(Y16=1,IF(ISNUMBER(G16),1,0),IF(AJ16="",0,IF(IF($U$36=1,COUNTIF($AH$6:$AK$24,"&gt;"&amp;AJ16),COUNTIF($AM$6:$AP$24,"&gt;"&amp;AJ16))+COUNTIF($AH$6:$AK$15,AJ16)+COUNTIF($AH16:AI16,AJ16)+1&lt;=$U$46,1,0)))</f>
        <v>0</v>
      </c>
      <c r="AU16" s="15" t="n">
        <f aca="false">IF(Y16=1,IF(ISNUMBER(H16),1,0),IF(AK16="",0,IF(IF($U$36=1,COUNTIF($AH$6:$AK$24,"&gt;"&amp;AK16),COUNTIF($AM$6:$AP$24,"&gt;"&amp;AK16))+COUNTIF($AH$6:$AK$15,AK16)+COUNTIF($AH16:AJ16,AK16)+1&lt;=$U$46,1,0)))</f>
        <v>0</v>
      </c>
      <c r="BZ16" s="15" t="n">
        <f aca="false">IFERROR(LARGE($AH$6:$AK$24,15),0)</f>
        <v>0</v>
      </c>
      <c r="CA16" s="15" t="n">
        <f aca="false">CA15+BZ16</f>
        <v>0</v>
      </c>
      <c r="CB16" s="15" t="n">
        <f aca="false">IFERROR(LARGE($AM$6:$AP$24,15),0)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196</v>
      </c>
      <c r="C17" s="37"/>
      <c r="D17" s="38"/>
      <c r="E17" s="24"/>
      <c r="F17" s="24"/>
      <c r="G17" s="24"/>
      <c r="H17" s="24"/>
      <c r="I17" s="39"/>
      <c r="J17" s="39"/>
      <c r="T17" s="15" t="s">
        <v>193</v>
      </c>
      <c r="U17" s="15" t="n">
        <f aca="false">MIN(300,INT((SUM(BO6,BO7,BO8,BO9,BO26))+0.5+0.000000001))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IF(Y17=1,IF(ISNUMBER(E17),1,0),IF(AH17="",0,IF(IF($U$36=1,COUNTIF($AH$6:$AK$24,"&gt;"&amp;AH17),COUNTIF($AM$6:$AP$24,"&gt;"&amp;AH17))+COUNTIF($AH$6:$AK$16,AH17)+1&lt;=$U$46,1,0)))</f>
        <v>0</v>
      </c>
      <c r="AS17" s="15" t="n">
        <f aca="false">IF(Y17=1,IF(ISNUMBER(F17),1,0),IF(AI17="",0,IF(IF($U$36=1,COUNTIF($AH$6:$AK$24,"&gt;"&amp;AI17),COUNTIF($AM$6:$AP$24,"&gt;"&amp;AI17))+COUNTIF($AH$6:$AK$16,AI17)+COUNTIF($AH17:AH17,AI17)+1&lt;=$U$46,1,0)))</f>
        <v>0</v>
      </c>
      <c r="AT17" s="15" t="n">
        <f aca="false">IF(Y17=1,IF(ISNUMBER(G17),1,0),IF(AJ17="",0,IF(IF($U$36=1,COUNTIF($AH$6:$AK$24,"&gt;"&amp;AJ17),COUNTIF($AM$6:$AP$24,"&gt;"&amp;AJ17))+COUNTIF($AH$6:$AK$16,AJ17)+COUNTIF($AH17:AI17,AJ17)+1&lt;=$U$46,1,0)))</f>
        <v>0</v>
      </c>
      <c r="AU17" s="15" t="n">
        <f aca="false">IF(Y17=1,IF(ISNUMBER(H17),1,0),IF(AK17="",0,IF(IF($U$36=1,COUNTIF($AH$6:$AK$24,"&gt;"&amp;AK17),COUNTIF($AM$6:$AP$24,"&gt;"&amp;AK17))+COUNTIF($AH$6:$AK$16,AK17)+COUNTIF($AH17:AJ17,AK17)+1&lt;=$U$46,1,0)))</f>
        <v>0</v>
      </c>
      <c r="BZ17" s="15" t="n">
        <f aca="false">IFERROR(LARGE($AH$6:$AK$24,16),0)</f>
        <v>0</v>
      </c>
      <c r="CA17" s="15" t="n">
        <f aca="false">CA16+BZ17</f>
        <v>0</v>
      </c>
      <c r="CB17" s="15" t="n">
        <f aca="false">IFERROR(LARGE($AM$6:$AP$24,16),0)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200</v>
      </c>
      <c r="C18" s="37"/>
      <c r="D18" s="38"/>
      <c r="E18" s="24"/>
      <c r="F18" s="24"/>
      <c r="G18" s="24"/>
      <c r="H18" s="24"/>
      <c r="I18" s="39"/>
      <c r="J18" s="39"/>
      <c r="L18" s="40" t="s">
        <v>197</v>
      </c>
      <c r="M18" s="41" t="s">
        <v>149</v>
      </c>
      <c r="N18" s="6" t="s">
        <v>198</v>
      </c>
      <c r="T18" s="15" t="s">
        <v>195</v>
      </c>
      <c r="U18" s="15" t="n">
        <f aca="false">SUM(BP6,BP7,BP8,BP9,BP26)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IF(Y18=1,IF(ISNUMBER(E18),1,0),IF(AH18="",0,IF(IF($U$36=1,COUNTIF($AH$6:$AK$24,"&gt;"&amp;AH18),COUNTIF($AM$6:$AP$24,"&gt;"&amp;AH18))+COUNTIF($AH$6:$AK$17,AH18)+1&lt;=$U$46,1,0)))</f>
        <v>0</v>
      </c>
      <c r="AS18" s="15" t="n">
        <f aca="false">IF(Y18=1,IF(ISNUMBER(F18),1,0),IF(AI18="",0,IF(IF($U$36=1,COUNTIF($AH$6:$AK$24,"&gt;"&amp;AI18),COUNTIF($AM$6:$AP$24,"&gt;"&amp;AI18))+COUNTIF($AH$6:$AK$17,AI18)+COUNTIF($AH18:AH18,AI18)+1&lt;=$U$46,1,0)))</f>
        <v>0</v>
      </c>
      <c r="AT18" s="15" t="n">
        <f aca="false">IF(Y18=1,IF(ISNUMBER(G18),1,0),IF(AJ18="",0,IF(IF($U$36=1,COUNTIF($AH$6:$AK$24,"&gt;"&amp;AJ18),COUNTIF($AM$6:$AP$24,"&gt;"&amp;AJ18))+COUNTIF($AH$6:$AK$17,AJ18)+COUNTIF($AH18:AI18,AJ18)+1&lt;=$U$46,1,0)))</f>
        <v>0</v>
      </c>
      <c r="AU18" s="15" t="n">
        <f aca="false">IF(Y18=1,IF(ISNUMBER(H18),1,0),IF(AK18="",0,IF(IF($U$36=1,COUNTIF($AH$6:$AK$24,"&gt;"&amp;AK18),COUNTIF($AM$6:$AP$24,"&gt;"&amp;AK18))+COUNTIF($AH$6:$AK$17,AK18)+COUNTIF($AH18:AJ18,AK18)+1&lt;=$U$46,1,0)))</f>
        <v>0</v>
      </c>
      <c r="BZ18" s="15" t="n">
        <f aca="false">IFERROR(LARGE($AH$6:$AK$24,17),0)</f>
        <v>0</v>
      </c>
      <c r="CA18" s="15" t="n">
        <f aca="false">CA17+BZ18</f>
        <v>0</v>
      </c>
      <c r="CB18" s="15" t="n">
        <f aca="false">IFERROR(LARGE($AM$6:$AP$24,17),0)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203</v>
      </c>
      <c r="C19" s="37"/>
      <c r="D19" s="38"/>
      <c r="E19" s="24"/>
      <c r="F19" s="24"/>
      <c r="G19" s="24"/>
      <c r="H19" s="24"/>
      <c r="I19" s="39"/>
      <c r="J19" s="39"/>
      <c r="L19" s="42" t="s">
        <v>201</v>
      </c>
      <c r="M19" s="43" t="str">
        <f aca="false">IF($U$4=0,"",IF($U$48=1,"✓ erfüllt","✗ nicht erfüllt"))</f>
        <v/>
      </c>
      <c r="N19" s="36" t="str">
        <f aca="false">IF($U$4=0,"",$U$37&amp;" Punkte")</f>
        <v/>
      </c>
      <c r="T19" s="15" t="s">
        <v>199</v>
      </c>
      <c r="U19" s="15" t="n">
        <f aca="false">BP6+BP7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IF(Y19=1,IF(ISNUMBER(E19),1,0),IF(AH19="",0,IF(IF($U$36=1,COUNTIF($AH$6:$AK$24,"&gt;"&amp;AH19),COUNTIF($AM$6:$AP$24,"&gt;"&amp;AH19))+COUNTIF($AH$6:$AK$18,AH19)+1&lt;=$U$46,1,0)))</f>
        <v>0</v>
      </c>
      <c r="AS19" s="15" t="n">
        <f aca="false">IF(Y19=1,IF(ISNUMBER(F19),1,0),IF(AI19="",0,IF(IF($U$36=1,COUNTIF($AH$6:$AK$24,"&gt;"&amp;AI19),COUNTIF($AM$6:$AP$24,"&gt;"&amp;AI19))+COUNTIF($AH$6:$AK$18,AI19)+COUNTIF($AH19:AH19,AI19)+1&lt;=$U$46,1,0)))</f>
        <v>0</v>
      </c>
      <c r="AT19" s="15" t="n">
        <f aca="false">IF(Y19=1,IF(ISNUMBER(G19),1,0),IF(AJ19="",0,IF(IF($U$36=1,COUNTIF($AH$6:$AK$24,"&gt;"&amp;AJ19),COUNTIF($AM$6:$AP$24,"&gt;"&amp;AJ19))+COUNTIF($AH$6:$AK$18,AJ19)+COUNTIF($AH19:AI19,AJ19)+1&lt;=$U$46,1,0)))</f>
        <v>0</v>
      </c>
      <c r="AU19" s="15" t="n">
        <f aca="false">IF(Y19=1,IF(ISNUMBER(H19),1,0),IF(AK19="",0,IF(IF($U$36=1,COUNTIF($AH$6:$AK$24,"&gt;"&amp;AK19),COUNTIF($AM$6:$AP$24,"&gt;"&amp;AK19))+COUNTIF($AH$6:$AK$18,AK19)+COUNTIF($AH19:AJ19,AK19)+1&lt;=$U$46,1,0)))</f>
        <v>0</v>
      </c>
      <c r="BZ19" s="15" t="n">
        <f aca="false">IFERROR(LARGE($AH$6:$AK$24,18),0)</f>
        <v>0</v>
      </c>
      <c r="CA19" s="15" t="n">
        <f aca="false">CA18+BZ19</f>
        <v>0</v>
      </c>
      <c r="CB19" s="15" t="n">
        <f aca="false">IFERROR(LARGE($AM$6:$AP$24,18),0)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205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"&amp;$U$40&amp;" Unterkurse (unter 5 Punkten)"</f>
        <v>Höchstens 6 Unterkurse (unter 5 Punkten)</v>
      </c>
      <c r="M20" s="43" t="str">
        <f aca="false">IF($U$4=0,"",IF($U$49=1,"✓ erfüllt","✗ nicht erfüllt"))</f>
        <v/>
      </c>
      <c r="N20" s="36" t="str">
        <f aca="false">IF($U$4=0,"",$U$39&amp;" Unterkurse")</f>
        <v/>
      </c>
      <c r="T20" s="15" t="s">
        <v>202</v>
      </c>
      <c r="U20" s="15" t="n">
        <f aca="false">BQ6+BQ7+BQ8+BQ9+BQ26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IF(Y20=1,IF(ISNUMBER(E20),1,0),IF(AH20="",0,IF(IF($U$36=1,COUNTIF($AH$6:$AK$24,"&gt;"&amp;AH20),COUNTIF($AM$6:$AP$24,"&gt;"&amp;AH20))+COUNTIF($AH$6:$AK$19,AH20)+1&lt;=$U$46,1,0)))</f>
        <v>0</v>
      </c>
      <c r="AS20" s="15" t="n">
        <f aca="false">IF(Y20=1,IF(ISNUMBER(F20),1,0),IF(AI20="",0,IF(IF($U$36=1,COUNTIF($AH$6:$AK$24,"&gt;"&amp;AI20),COUNTIF($AM$6:$AP$24,"&gt;"&amp;AI20))+COUNTIF($AH$6:$AK$19,AI20)+COUNTIF($AH20:AH20,AI20)+1&lt;=$U$46,1,0)))</f>
        <v>0</v>
      </c>
      <c r="AT20" s="15" t="n">
        <f aca="false">IF(Y20=1,IF(ISNUMBER(G20),1,0),IF(AJ20="",0,IF(IF($U$36=1,COUNTIF($AH$6:$AK$24,"&gt;"&amp;AJ20),COUNTIF($AM$6:$AP$24,"&gt;"&amp;AJ20))+COUNTIF($AH$6:$AK$19,AJ20)+COUNTIF($AH20:AI20,AJ20)+1&lt;=$U$46,1,0)))</f>
        <v>0</v>
      </c>
      <c r="AU20" s="15" t="n">
        <f aca="false">IF(Y20=1,IF(ISNUMBER(H20),1,0),IF(AK20="",0,IF(IF($U$36=1,COUNTIF($AH$6:$AK$24,"&gt;"&amp;AK20),COUNTIF($AM$6:$AP$24,"&gt;"&amp;AK20))+COUNTIF($AH$6:$AK$19,AK20)+COUNTIF($AH20:AJ20,AK20)+1&lt;=$U$46,1,0)))</f>
        <v>0</v>
      </c>
      <c r="BZ20" s="15" t="n">
        <f aca="false">IFERROR(LARGE($AH$6:$AK$24,19),0)</f>
        <v>0</v>
      </c>
      <c r="CA20" s="15" t="n">
        <f aca="false">CA19+BZ20</f>
        <v>0</v>
      </c>
      <c r="CB20" s="15" t="n">
        <f aca="false">IFERROR(LARGE($AM$6:$AP$24,19),0)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208</v>
      </c>
      <c r="C21" s="37"/>
      <c r="D21" s="38"/>
      <c r="E21" s="24"/>
      <c r="F21" s="24"/>
      <c r="G21" s="24"/>
      <c r="H21" s="24"/>
      <c r="I21" s="39"/>
      <c r="J21" s="39"/>
      <c r="L21" s="42" t="s">
        <v>209</v>
      </c>
      <c r="M21" s="43" t="str">
        <f aca="false">IF($U$4=0,"",IF($U$54=1,"✓ erfüllt","✗ nicht erfüllt"))</f>
        <v/>
      </c>
      <c r="N21" s="36" t="str">
        <f aca="false">IF($U$4=0,"",$U$12&amp;" mit 0 Punkten")</f>
        <v/>
      </c>
      <c r="T21" s="15" t="s">
        <v>204</v>
      </c>
      <c r="U21" s="15" t="n">
        <f aca="false">BR6+BR7+BR8+BR9+BR26</f>
        <v>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IF(Y21=1,IF(ISNUMBER(E21),1,0),IF(AH21="",0,IF(IF($U$36=1,COUNTIF($AH$6:$AK$24,"&gt;"&amp;AH21),COUNTIF($AM$6:$AP$24,"&gt;"&amp;AH21))+COUNTIF($AH$6:$AK$20,AH21)+1&lt;=$U$46,1,0)))</f>
        <v>0</v>
      </c>
      <c r="AS21" s="15" t="n">
        <f aca="false">IF(Y21=1,IF(ISNUMBER(F21),1,0),IF(AI21="",0,IF(IF($U$36=1,COUNTIF($AH$6:$AK$24,"&gt;"&amp;AI21),COUNTIF($AM$6:$AP$24,"&gt;"&amp;AI21))+COUNTIF($AH$6:$AK$20,AI21)+COUNTIF($AH21:AH21,AI21)+1&lt;=$U$46,1,0)))</f>
        <v>0</v>
      </c>
      <c r="AT21" s="15" t="n">
        <f aca="false">IF(Y21=1,IF(ISNUMBER(G21),1,0),IF(AJ21="",0,IF(IF($U$36=1,COUNTIF($AH$6:$AK$24,"&gt;"&amp;AJ21),COUNTIF($AM$6:$AP$24,"&gt;"&amp;AJ21))+COUNTIF($AH$6:$AK$20,AJ21)+COUNTIF($AH21:AI21,AJ21)+1&lt;=$U$46,1,0)))</f>
        <v>0</v>
      </c>
      <c r="AU21" s="15" t="n">
        <f aca="false">IF(Y21=1,IF(ISNUMBER(H21),1,0),IF(AK21="",0,IF(IF($U$36=1,COUNTIF($AH$6:$AK$24,"&gt;"&amp;AK21),COUNTIF($AM$6:$AP$24,"&gt;"&amp;AK21))+COUNTIF($AH$6:$AK$20,AK21)+COUNTIF($AH21:AJ21,AK21)+1&lt;=$U$46,1,0)))</f>
        <v>0</v>
      </c>
      <c r="BZ21" s="15" t="n">
        <f aca="false">IFERROR(LARGE($AH$6:$AK$24,20),0)</f>
        <v>0</v>
      </c>
      <c r="CA21" s="15" t="n">
        <f aca="false">CA20+BZ21</f>
        <v>0</v>
      </c>
      <c r="CB21" s="15" t="n">
        <f aca="false">IFERROR(LARGE($AM$6:$AP$24,20),0)</f>
        <v>0</v>
      </c>
      <c r="CC21" s="15" t="n">
        <f aca="false">CC20+CB21</f>
        <v>0</v>
      </c>
    </row>
    <row r="22" customFormat="false" ht="22.35" hidden="false" customHeight="false" outlineLevel="0" collapsed="false">
      <c r="B22" s="36" t="s">
        <v>211</v>
      </c>
      <c r="C22" s="37"/>
      <c r="D22" s="38"/>
      <c r="E22" s="24"/>
      <c r="F22" s="24"/>
      <c r="G22" s="24"/>
      <c r="H22" s="24"/>
      <c r="I22" s="39"/>
      <c r="J22" s="39"/>
      <c r="L22" s="42" t="s">
        <v>212</v>
      </c>
      <c r="M22" s="43" t="str">
        <f aca="false">IF($U$4=0,"",IF($U$57=1,"✓ erfüllt","✗ nicht erfüllt"))</f>
        <v/>
      </c>
      <c r="N22" s="36"/>
      <c r="T22" s="15" t="s">
        <v>207</v>
      </c>
      <c r="U22" s="15" t="n">
        <f aca="false">MIN(300,INT((SUM(BU6,BU7,BU8,BU9,BU26))+0.5+0.000000001))</f>
        <v>140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IF(Y22=1,IF(ISNUMBER(E22),1,0),IF(AH22="",0,IF(IF($U$36=1,COUNTIF($AH$6:$AK$24,"&gt;"&amp;AH22),COUNTIF($AM$6:$AP$24,"&gt;"&amp;AH22))+COUNTIF($AH$6:$AK$21,AH22)+1&lt;=$U$46,1,0)))</f>
        <v>0</v>
      </c>
      <c r="AS22" s="15" t="n">
        <f aca="false">IF(Y22=1,IF(ISNUMBER(F22),1,0),IF(AI22="",0,IF(IF($U$36=1,COUNTIF($AH$6:$AK$24,"&gt;"&amp;AI22),COUNTIF($AM$6:$AP$24,"&gt;"&amp;AI22))+COUNTIF($AH$6:$AK$21,AI22)+COUNTIF($AH22:AH22,AI22)+1&lt;=$U$46,1,0)))</f>
        <v>0</v>
      </c>
      <c r="AT22" s="15" t="n">
        <f aca="false">IF(Y22=1,IF(ISNUMBER(G22),1,0),IF(AJ22="",0,IF(IF($U$36=1,COUNTIF($AH$6:$AK$24,"&gt;"&amp;AJ22),COUNTIF($AM$6:$AP$24,"&gt;"&amp;AJ22))+COUNTIF($AH$6:$AK$21,AJ22)+COUNTIF($AH22:AI22,AJ22)+1&lt;=$U$46,1,0)))</f>
        <v>0</v>
      </c>
      <c r="AU22" s="15" t="n">
        <f aca="false">IF(Y22=1,IF(ISNUMBER(H22),1,0),IF(AK22="",0,IF(IF($U$36=1,COUNTIF($AH$6:$AK$24,"&gt;"&amp;AK22),COUNTIF($AM$6:$AP$24,"&gt;"&amp;AK22))+COUNTIF($AH$6:$AK$21,AK22)+COUNTIF($AH22:AJ22,AK22)+1&lt;=$U$46,1,0)))</f>
        <v>0</v>
      </c>
      <c r="BZ22" s="15" t="n">
        <f aca="false">IFERROR(LARGE($AH$6:$AK$24,21),0)</f>
        <v>0</v>
      </c>
      <c r="CA22" s="15" t="n">
        <f aca="false">CA21+BZ22</f>
        <v>0</v>
      </c>
      <c r="CB22" s="15" t="n">
        <f aca="false">IFERROR(LARGE($AM$6:$AP$24,21),0)</f>
        <v>0</v>
      </c>
      <c r="CC22" s="15" t="n">
        <f aca="false">CC21+CB22</f>
        <v>0</v>
      </c>
      <c r="CE22" s="15" t="s">
        <v>79</v>
      </c>
      <c r="CF22" s="15" t="s">
        <v>80</v>
      </c>
      <c r="CG22" s="15" t="s">
        <v>81</v>
      </c>
      <c r="CH22" s="15" t="s">
        <v>82</v>
      </c>
      <c r="CI22" s="15" t="s">
        <v>83</v>
      </c>
      <c r="CJ22" s="15" t="s">
        <v>84</v>
      </c>
      <c r="CK22" s="15" t="s">
        <v>85</v>
      </c>
      <c r="CL22" s="15" t="s">
        <v>86</v>
      </c>
      <c r="CM22" s="15" t="s">
        <v>87</v>
      </c>
      <c r="CN22" s="15" t="s">
        <v>88</v>
      </c>
      <c r="CO22" s="15" t="s">
        <v>89</v>
      </c>
      <c r="CP22" s="15" t="s">
        <v>90</v>
      </c>
      <c r="CQ22" s="15" t="s">
        <v>91</v>
      </c>
      <c r="CR22" s="15" t="s">
        <v>92</v>
      </c>
      <c r="CS22" s="15" t="s">
        <v>93</v>
      </c>
      <c r="CT22" s="15" t="s">
        <v>94</v>
      </c>
      <c r="CU22" s="15" t="s">
        <v>95</v>
      </c>
      <c r="CV22" s="15" t="s">
        <v>96</v>
      </c>
      <c r="CW22" s="15" t="s">
        <v>97</v>
      </c>
      <c r="CX22" s="15" t="s">
        <v>98</v>
      </c>
      <c r="CY22" s="15" t="s">
        <v>99</v>
      </c>
      <c r="CZ22" s="15" t="s">
        <v>100</v>
      </c>
      <c r="DA22" s="15" t="s">
        <v>101</v>
      </c>
      <c r="DB22" s="15" t="s">
        <v>102</v>
      </c>
      <c r="DC22" s="15" t="s">
        <v>103</v>
      </c>
      <c r="DD22" s="15" t="s">
        <v>104</v>
      </c>
      <c r="DE22" s="15" t="s">
        <v>105</v>
      </c>
      <c r="DF22" s="15" t="s">
        <v>106</v>
      </c>
      <c r="DG22" s="15" t="s">
        <v>107</v>
      </c>
      <c r="DH22" s="15" t="s">
        <v>108</v>
      </c>
    </row>
    <row r="23" customFormat="false" ht="15" hidden="false" customHeight="false" outlineLevel="0" collapsed="false">
      <c r="B23" s="36" t="s">
        <v>214</v>
      </c>
      <c r="C23" s="37"/>
      <c r="D23" s="38"/>
      <c r="E23" s="24"/>
      <c r="F23" s="24"/>
      <c r="G23" s="24"/>
      <c r="H23" s="24"/>
      <c r="I23" s="39"/>
      <c r="J23" s="39"/>
      <c r="L23" s="42" t="s">
        <v>215</v>
      </c>
      <c r="M23" s="43" t="str">
        <f aca="false">IF($U$4=0,"",IF($U$62=1,"✓ erfüllt","✗ nicht erfüllt"))</f>
        <v/>
      </c>
      <c r="N23" s="36" t="str">
        <f aca="false">IF($U$4=0,"",$U$60&amp;" Punkte")</f>
        <v/>
      </c>
      <c r="T23" s="15" t="s">
        <v>210</v>
      </c>
      <c r="U23" s="15" t="n">
        <f aca="false">SUM(BV6,BV7,BV8,BV9,BV26)</f>
        <v>4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IF(Y23=1,IF(ISNUMBER(E23),1,0),IF(AH23="",0,IF(IF($U$36=1,COUNTIF($AH$6:$AK$24,"&gt;"&amp;AH23),COUNTIF($AM$6:$AP$24,"&gt;"&amp;AH23))+COUNTIF($AH$6:$AK$22,AH23)+1&lt;=$U$46,1,0)))</f>
        <v>0</v>
      </c>
      <c r="AS23" s="15" t="n">
        <f aca="false">IF(Y23=1,IF(ISNUMBER(F23),1,0),IF(AI23="",0,IF(IF($U$36=1,COUNTIF($AH$6:$AK$24,"&gt;"&amp;AI23),COUNTIF($AM$6:$AP$24,"&gt;"&amp;AI23))+COUNTIF($AH$6:$AK$22,AI23)+COUNTIF($AH23:AH23,AI23)+1&lt;=$U$46,1,0)))</f>
        <v>0</v>
      </c>
      <c r="AT23" s="15" t="n">
        <f aca="false">IF(Y23=1,IF(ISNUMBER(G23),1,0),IF(AJ23="",0,IF(IF($U$36=1,COUNTIF($AH$6:$AK$24,"&gt;"&amp;AJ23),COUNTIF($AM$6:$AP$24,"&gt;"&amp;AJ23))+COUNTIF($AH$6:$AK$22,AJ23)+COUNTIF($AH23:AI23,AJ23)+1&lt;=$U$46,1,0)))</f>
        <v>0</v>
      </c>
      <c r="AU23" s="15" t="n">
        <f aca="false">IF(Y23=1,IF(ISNUMBER(H23),1,0),IF(AK23="",0,IF(IF($U$36=1,COUNTIF($AH$6:$AK$24,"&gt;"&amp;AK23),COUNTIF($AM$6:$AP$24,"&gt;"&amp;AK23))+COUNTIF($AH$6:$AK$22,AK23)+COUNTIF($AH23:AJ23,AK23)+1&lt;=$U$46,1,0)))</f>
        <v>0</v>
      </c>
      <c r="BZ23" s="15" t="n">
        <f aca="false">IFERROR(LARGE($AH$6:$AK$24,22),0)</f>
        <v>0</v>
      </c>
      <c r="CA23" s="15" t="n">
        <f aca="false">CA22+BZ23</f>
        <v>0</v>
      </c>
      <c r="CB23" s="15" t="n">
        <f aca="false">IFERROR(LARGE($AM$6:$AP$24,22),0)</f>
        <v>0</v>
      </c>
      <c r="CC23" s="15" t="n">
        <f aca="false">CC22+CB23</f>
        <v>0</v>
      </c>
      <c r="CE23" s="15" t="n">
        <f aca="false">32</f>
        <v>32</v>
      </c>
      <c r="CF23" s="15" t="n">
        <f aca="false">CE23-$V$5-$V$6-0</f>
        <v>16</v>
      </c>
      <c r="CG23" s="15" t="n">
        <f aca="false">MAX(0,CF23)</f>
        <v>16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16</v>
      </c>
      <c r="CK23" s="15" t="n">
        <f aca="false">$V$5+CH23+CJ23</f>
        <v>32</v>
      </c>
      <c r="CL23" s="15" t="n">
        <f aca="false">2*BE6+2*BF6+2*BE7+2*BF7</f>
        <v>112</v>
      </c>
      <c r="CM23" s="15" t="n">
        <f aca="false">2*BG6+2*BH6+2*BG7+2*BH7+1*BG8+1*BH8+1*BG9+1*BH9+SUM($AE$11:$AE$24)</f>
        <v>24</v>
      </c>
      <c r="CN23" s="15" t="n">
        <f aca="false">IF(CH23=0,0,INDEX($CC$2:$CC$57,CH23))</f>
        <v>0</v>
      </c>
      <c r="CO23" s="15" t="n">
        <f aca="false">CL23+$V$11+CN23+CJ23*$U$2</f>
        <v>280</v>
      </c>
      <c r="CP23" s="15" t="n">
        <f aca="false">CM23+CH23+CJ23</f>
        <v>40</v>
      </c>
      <c r="CQ23" s="15" t="n">
        <f aca="false">IF(CP23&gt;0,MIN(600,INT((CO23/CP23*40)+0.5+0.000000001)),0)</f>
        <v>280</v>
      </c>
      <c r="CR23" s="15" t="n">
        <f aca="false">$V$9+CT23</f>
        <v>0</v>
      </c>
      <c r="CS23" s="15" t="n">
        <f aca="false">IF(CK23&lt;32,6,IF(CK23&gt;40,8,CHOOSE(CK23-31,6,6,6,7,7,7,7,7,8)))</f>
        <v>6</v>
      </c>
      <c r="CT23" s="15" t="n">
        <f aca="false">$V$10+MAX(0,CH23-$V$8)+CJ23*IF($U$2&lt;5,1,0)</f>
        <v>0</v>
      </c>
      <c r="CU23" s="15" t="n">
        <f aca="false">$V$11+CN23+CJ23*$U$2</f>
        <v>168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1</f>
        <v>1</v>
      </c>
      <c r="CY23" s="15" t="n">
        <f aca="false">1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1028068</v>
      </c>
    </row>
    <row r="24" customFormat="false" ht="22.35" hidden="false" customHeight="false" outlineLevel="0" collapsed="false">
      <c r="B24" s="36" t="s">
        <v>217</v>
      </c>
      <c r="C24" s="37"/>
      <c r="D24" s="38"/>
      <c r="E24" s="24"/>
      <c r="F24" s="24"/>
      <c r="G24" s="24"/>
      <c r="H24" s="24"/>
      <c r="I24" s="39"/>
      <c r="J24" s="39"/>
      <c r="L24" s="42" t="str">
        <f aca="false">"In mindestens "&amp;$U$27&amp;" Prüfungen mindestens 5 Punkte (einfach), davon eine im 1./2. Prüfungsfach"</f>
        <v>In mindestens 2 Prüfungen mindestens 5 Punkte (einfach), davon eine im 1./2. Prüfungsfach</v>
      </c>
      <c r="M24" s="43" t="str">
        <f aca="false">IF($U$4=0,"",IF($U$63=1,"✓ erfüllt","✗ nicht erfüllt"))</f>
        <v/>
      </c>
      <c r="N24" s="36" t="str">
        <f aca="false">IF($U$4=0,"",$U$61&amp;" Prüfungen")</f>
        <v/>
      </c>
      <c r="T24" s="15" t="s">
        <v>213</v>
      </c>
      <c r="U24" s="15" t="n">
        <f aca="false">BV6+BV7</f>
        <v>2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IF(Y24=1,IF(ISNUMBER(E24),1,0),IF(AH24="",0,IF(IF($U$36=1,COUNTIF($AH$6:$AK$24,"&gt;"&amp;AH24),COUNTIF($AM$6:$AP$24,"&gt;"&amp;AH24))+COUNTIF($AH$6:$AK$23,AH24)+1&lt;=$U$46,1,0)))</f>
        <v>0</v>
      </c>
      <c r="AS24" s="15" t="n">
        <f aca="false">IF(Y24=1,IF(ISNUMBER(F24),1,0),IF(AI24="",0,IF(IF($U$36=1,COUNTIF($AH$6:$AK$24,"&gt;"&amp;AI24),COUNTIF($AM$6:$AP$24,"&gt;"&amp;AI24))+COUNTIF($AH$6:$AK$23,AI24)+COUNTIF($AH24:AH24,AI24)+1&lt;=$U$46,1,0)))</f>
        <v>0</v>
      </c>
      <c r="AT24" s="15" t="n">
        <f aca="false">IF(Y24=1,IF(ISNUMBER(G24),1,0),IF(AJ24="",0,IF(IF($U$36=1,COUNTIF($AH$6:$AK$24,"&gt;"&amp;AJ24),COUNTIF($AM$6:$AP$24,"&gt;"&amp;AJ24))+COUNTIF($AH$6:$AK$23,AJ24)+COUNTIF($AH24:AI24,AJ24)+1&lt;=$U$46,1,0)))</f>
        <v>0</v>
      </c>
      <c r="AU24" s="15" t="n">
        <f aca="false">IF(Y24=1,IF(ISNUMBER(H24),1,0),IF(AK24="",0,IF(IF($U$36=1,COUNTIF($AH$6:$AK$24,"&gt;"&amp;AK24),COUNTIF($AM$6:$AP$24,"&gt;"&amp;AK24))+COUNTIF($AH$6:$AK$23,AK24)+COUNTIF($AH24:AJ24,AK24)+1&lt;=$U$46,1,0)))</f>
        <v>0</v>
      </c>
      <c r="BZ24" s="15" t="n">
        <f aca="false">IFERROR(LARGE($AH$6:$AK$24,23),0)</f>
        <v>0</v>
      </c>
      <c r="CA24" s="15" t="n">
        <f aca="false">CA23+BZ24</f>
        <v>0</v>
      </c>
      <c r="CB24" s="15" t="n">
        <f aca="false">IFERROR(LARGE($AM$6:$AP$24,23),0)</f>
        <v>0</v>
      </c>
      <c r="CC24" s="15" t="n">
        <f aca="false">CC23+CB24</f>
        <v>0</v>
      </c>
      <c r="CE24" s="15" t="n">
        <f aca="false">33</f>
        <v>33</v>
      </c>
      <c r="CF24" s="15" t="n">
        <f aca="false">CE24-$V$5-$V$6-0</f>
        <v>17</v>
      </c>
      <c r="CG24" s="15" t="n">
        <f aca="false">MAX(0,CF24)</f>
        <v>17</v>
      </c>
      <c r="CH24" s="15" t="n">
        <f aca="false">MIN(CG24,$V$7)</f>
        <v>0</v>
      </c>
      <c r="CI24" s="15" t="n">
        <f aca="false">0</f>
        <v>0</v>
      </c>
      <c r="CJ24" s="15" t="n">
        <f aca="false">CG24-CH24</f>
        <v>17</v>
      </c>
      <c r="CK24" s="15" t="n">
        <f aca="false">$V$5+CH24+CJ24</f>
        <v>33</v>
      </c>
      <c r="CL24" s="15" t="n">
        <f aca="false">2*BE6+2*BF6+2*BE7+2*BF7</f>
        <v>112</v>
      </c>
      <c r="CM24" s="15" t="n">
        <f aca="false">2*BG6+2*BH6+2*BG7+2*BH7+1*BG8+1*BH8+1*BG9+1*BH9+SUM($AE$11:$AE$24)</f>
        <v>24</v>
      </c>
      <c r="CN24" s="15" t="n">
        <f aca="false">IF(CH24=0,0,INDEX($CC$2:$CC$57,CH24))</f>
        <v>0</v>
      </c>
      <c r="CO24" s="15" t="n">
        <f aca="false">CL24+$V$11+CN24+CJ24*$U$2</f>
        <v>287</v>
      </c>
      <c r="CP24" s="15" t="n">
        <f aca="false">CM24+CH24+CJ24</f>
        <v>41</v>
      </c>
      <c r="CQ24" s="15" t="n">
        <f aca="false">IF(CP24&gt;0,MIN(600,INT((CO24/CP24*40)+0.5+0.000000001)),0)</f>
        <v>280</v>
      </c>
      <c r="CR24" s="15" t="n">
        <f aca="false">$V$9+CT24</f>
        <v>0</v>
      </c>
      <c r="CS24" s="15" t="n">
        <f aca="false">IF(CK24&lt;32,6,IF(CK24&gt;40,8,CHOOSE(CK24-31,6,6,6,7,7,7,7,7,8)))</f>
        <v>6</v>
      </c>
      <c r="CT24" s="15" t="n">
        <f aca="false">$V$10+MAX(0,CH24-$V$8)+CJ24*IF($U$2&lt;5,1,0)</f>
        <v>0</v>
      </c>
      <c r="CU24" s="15" t="n">
        <f aca="false">$V$11+CN24+CJ24*$U$2</f>
        <v>175</v>
      </c>
      <c r="CV24" s="15" t="n">
        <f aca="false">IF(CQ24&gt;=200,1,0)</f>
        <v>1</v>
      </c>
      <c r="CW24" s="15" t="n">
        <f aca="false">IF(CR24&lt;=CS24,1,0)</f>
        <v>1</v>
      </c>
      <c r="CX24" s="15" t="n">
        <f aca="false">1</f>
        <v>1</v>
      </c>
      <c r="CY24" s="15" t="n">
        <f aca="false">1</f>
        <v>1</v>
      </c>
      <c r="CZ24" s="15" t="n">
        <f aca="false">1</f>
        <v>1</v>
      </c>
      <c r="DA24" s="15" t="n">
        <f aca="false">1</f>
        <v>1</v>
      </c>
      <c r="DB24" s="15" t="n">
        <f aca="false">IF($U$12=0,1,0)</f>
        <v>1</v>
      </c>
      <c r="DC24" s="15" t="n">
        <f aca="false">1</f>
        <v>1</v>
      </c>
      <c r="DD24" s="15" t="n">
        <f aca="false">1</f>
        <v>1</v>
      </c>
      <c r="DE24" s="15" t="n">
        <f aca="false">IF(CF24&lt;0,0,1)</f>
        <v>1</v>
      </c>
      <c r="DF24" s="15" t="n">
        <f aca="false">IF(CV24*CW24*CX24*CY24*CZ24*DA24*DB24*DC24*DD24*DE24=1,1,0)</f>
        <v>1</v>
      </c>
      <c r="DG24" s="15" t="n">
        <f aca="false">$V$6+CI24</f>
        <v>0</v>
      </c>
      <c r="DH24" s="15" t="n">
        <f aca="false">DF24*1000000+CQ24*100+(100-CK24)</f>
        <v>1028067</v>
      </c>
    </row>
    <row r="25" customFormat="false" ht="15" hidden="false" customHeight="false" outlineLevel="0" collapsed="false">
      <c r="L25" s="42" t="s">
        <v>221</v>
      </c>
      <c r="M25" s="43" t="str">
        <f aca="false">IF($U$4=0,"",IF($U$66=1,"✓ erfüllt","✗ nicht erfüllt"))</f>
        <v/>
      </c>
      <c r="N25" s="36" t="str">
        <f aca="false">IF($U$4=0,"",$U$65&amp;" Punkte")</f>
        <v/>
      </c>
      <c r="T25" s="15" t="s">
        <v>216</v>
      </c>
      <c r="U25" s="15" t="n">
        <f aca="false">BW6+BW7+BW8+BW9+BW26</f>
        <v>0</v>
      </c>
      <c r="BZ25" s="15" t="n">
        <f aca="false">IFERROR(LARGE($AH$6:$AK$24,24),0)</f>
        <v>0</v>
      </c>
      <c r="CA25" s="15" t="n">
        <f aca="false">CA24+BZ25</f>
        <v>0</v>
      </c>
      <c r="CB25" s="15" t="n">
        <f aca="false">IFERROR(LARGE($AM$6:$AP$24,24),0)</f>
        <v>0</v>
      </c>
      <c r="CC25" s="15" t="n">
        <f aca="false">CC24+CB25</f>
        <v>0</v>
      </c>
      <c r="CE25" s="15" t="n">
        <f aca="false">34</f>
        <v>34</v>
      </c>
      <c r="CF25" s="15" t="n">
        <f aca="false">CE25-$V$5-$V$6-0</f>
        <v>18</v>
      </c>
      <c r="CG25" s="15" t="n">
        <f aca="false">MAX(0,CF25)</f>
        <v>18</v>
      </c>
      <c r="CH25" s="15" t="n">
        <f aca="false">MIN(CG25,$V$7)</f>
        <v>0</v>
      </c>
      <c r="CI25" s="15" t="n">
        <f aca="false">0</f>
        <v>0</v>
      </c>
      <c r="CJ25" s="15" t="n">
        <f aca="false">CG25-CH25</f>
        <v>18</v>
      </c>
      <c r="CK25" s="15" t="n">
        <f aca="false">$V$5+CH25+CJ25</f>
        <v>34</v>
      </c>
      <c r="CL25" s="15" t="n">
        <f aca="false">2*BE6+2*BF6+2*BE7+2*BF7</f>
        <v>112</v>
      </c>
      <c r="CM25" s="15" t="n">
        <f aca="false">2*BG6+2*BH6+2*BG7+2*BH7+1*BG8+1*BH8+1*BG9+1*BH9+SUM($AE$11:$AE$24)</f>
        <v>24</v>
      </c>
      <c r="CN25" s="15" t="n">
        <f aca="false">IF(CH25=0,0,INDEX($CC$2:$CC$57,CH25))</f>
        <v>0</v>
      </c>
      <c r="CO25" s="15" t="n">
        <f aca="false">CL25+$V$11+CN25+CJ25*$U$2</f>
        <v>294</v>
      </c>
      <c r="CP25" s="15" t="n">
        <f aca="false">CM25+CH25+CJ25</f>
        <v>42</v>
      </c>
      <c r="CQ25" s="15" t="n">
        <f aca="false">IF(CP25&gt;0,MIN(600,INT((CO25/CP25*40)+0.5+0.000000001)),0)</f>
        <v>280</v>
      </c>
      <c r="CR25" s="15" t="n">
        <f aca="false">$V$9+CT25</f>
        <v>0</v>
      </c>
      <c r="CS25" s="15" t="n">
        <f aca="false">IF(CK25&lt;32,6,IF(CK25&gt;40,8,CHOOSE(CK25-31,6,6,6,7,7,7,7,7,8)))</f>
        <v>6</v>
      </c>
      <c r="CT25" s="15" t="n">
        <f aca="false">$V$10+MAX(0,CH25-$V$8)+CJ25*IF($U$2&lt;5,1,0)</f>
        <v>0</v>
      </c>
      <c r="CU25" s="15" t="n">
        <f aca="false">$V$11+CN25+CJ25*$U$2</f>
        <v>182</v>
      </c>
      <c r="CV25" s="15" t="n">
        <f aca="false">IF(CQ25&gt;=200,1,0)</f>
        <v>1</v>
      </c>
      <c r="CW25" s="15" t="n">
        <f aca="false">IF(CR25&lt;=CS25,1,0)</f>
        <v>1</v>
      </c>
      <c r="CX25" s="15" t="n">
        <f aca="false">1</f>
        <v>1</v>
      </c>
      <c r="CY25" s="15" t="n">
        <f aca="false">1</f>
        <v>1</v>
      </c>
      <c r="CZ25" s="15" t="n">
        <f aca="false">1</f>
        <v>1</v>
      </c>
      <c r="DA25" s="15" t="n">
        <f aca="false">1</f>
        <v>1</v>
      </c>
      <c r="DB25" s="15" t="n">
        <f aca="false">IF($U$12=0,1,0)</f>
        <v>1</v>
      </c>
      <c r="DC25" s="15" t="n">
        <f aca="false">1</f>
        <v>1</v>
      </c>
      <c r="DD25" s="15" t="n">
        <f aca="false">1</f>
        <v>1</v>
      </c>
      <c r="DE25" s="15" t="n">
        <f aca="false">IF(CF25&lt;0,0,1)</f>
        <v>1</v>
      </c>
      <c r="DF25" s="15" t="n">
        <f aca="false">IF(CV25*CW25*CX25*CY25*CZ25*DA25*DB25*DC25*DD25*DE25=1,1,0)</f>
        <v>1</v>
      </c>
      <c r="DG25" s="15" t="n">
        <f aca="false">$V$6+CI25</f>
        <v>0</v>
      </c>
      <c r="DH25" s="15" t="n">
        <f aca="false">DF25*1000000+CQ25*100+(100-CK25)</f>
        <v>1028066</v>
      </c>
    </row>
    <row r="26" customFormat="false" ht="30" hidden="false" customHeight="true" outlineLevel="0" collapsed="false">
      <c r="B26" s="21" t="s">
        <v>338</v>
      </c>
      <c r="C26" s="37"/>
      <c r="I26" s="25"/>
      <c r="J26" s="54" t="s">
        <v>339</v>
      </c>
      <c r="T26" s="15" t="s">
        <v>218</v>
      </c>
      <c r="U26" s="15" t="n">
        <f aca="false">BX6+BX7+BX8+BX9+BX26</f>
        <v>0</v>
      </c>
      <c r="BN26" s="15" t="str">
        <f aca="false">IF(ISNUMBER($I$26),$I$26,"")</f>
        <v/>
      </c>
      <c r="BO26" s="15" t="str">
        <f aca="false">IF(BN26="","",BN26*$U$16)</f>
        <v/>
      </c>
      <c r="BP26" s="15" t="n">
        <f aca="false">IF(BO26="",0,IF(BO26&gt;=5*$U$16-0.000000001,1,0))</f>
        <v>0</v>
      </c>
      <c r="BQ26" s="15" t="n">
        <f aca="false">IF(BO26="",0,IF(BO26&lt;0.000000001,1,0))</f>
        <v>0</v>
      </c>
      <c r="BR26" s="15" t="n">
        <f aca="false">0</f>
        <v>0</v>
      </c>
      <c r="BT26" s="15" t="str">
        <f aca="false">IF(ISNUMBER($I$26),$I$26,"")</f>
        <v/>
      </c>
      <c r="BU26" s="15" t="str">
        <f aca="false">IF(BT26="","",BT26*$U$16)</f>
        <v/>
      </c>
      <c r="BV26" s="15" t="n">
        <f aca="false">IF(BU26="",0,IF(BU26&gt;=5*$U$16-0.000000001,1,0))</f>
        <v>0</v>
      </c>
      <c r="BW26" s="15" t="n">
        <f aca="false">IF(BU26="",0,IF(BU26&lt;0.000000001,1,0))</f>
        <v>0</v>
      </c>
      <c r="BX26" s="15" t="n">
        <f aca="false">0</f>
        <v>0</v>
      </c>
      <c r="BZ26" s="15" t="n">
        <f aca="false">IFERROR(LARGE($AH$6:$AK$24,25),0)</f>
        <v>0</v>
      </c>
      <c r="CA26" s="15" t="n">
        <f aca="false">CA25+BZ26</f>
        <v>0</v>
      </c>
      <c r="CB26" s="15" t="n">
        <f aca="false">IFERROR(LARGE($AM$6:$AP$24,25),0)</f>
        <v>0</v>
      </c>
      <c r="CC26" s="15" t="n">
        <f aca="false">CC25+CB26</f>
        <v>0</v>
      </c>
      <c r="CE26" s="15" t="n">
        <f aca="false">35</f>
        <v>35</v>
      </c>
      <c r="CF26" s="15" t="n">
        <f aca="false">CE26-$V$5-$V$6-0</f>
        <v>19</v>
      </c>
      <c r="CG26" s="15" t="n">
        <f aca="false">MAX(0,CF26)</f>
        <v>19</v>
      </c>
      <c r="CH26" s="15" t="n">
        <f aca="false">MIN(CG26,$V$7)</f>
        <v>0</v>
      </c>
      <c r="CI26" s="15" t="n">
        <f aca="false">0</f>
        <v>0</v>
      </c>
      <c r="CJ26" s="15" t="n">
        <f aca="false">CG26-CH26</f>
        <v>19</v>
      </c>
      <c r="CK26" s="15" t="n">
        <f aca="false">$V$5+CH26+CJ26</f>
        <v>35</v>
      </c>
      <c r="CL26" s="15" t="n">
        <f aca="false">2*BE6+2*BF6+2*BE7+2*BF7</f>
        <v>112</v>
      </c>
      <c r="CM26" s="15" t="n">
        <f aca="false">2*BG6+2*BH6+2*BG7+2*BH7+1*BG8+1*BH8+1*BG9+1*BH9+SUM($AE$11:$AE$24)</f>
        <v>24</v>
      </c>
      <c r="CN26" s="15" t="n">
        <f aca="false">IF(CH26=0,0,INDEX($CC$2:$CC$57,CH26))</f>
        <v>0</v>
      </c>
      <c r="CO26" s="15" t="n">
        <f aca="false">CL26+$V$11+CN26+CJ26*$U$2</f>
        <v>301</v>
      </c>
      <c r="CP26" s="15" t="n">
        <f aca="false">CM26+CH26+CJ26</f>
        <v>43</v>
      </c>
      <c r="CQ26" s="15" t="n">
        <f aca="false">IF(CP26&gt;0,MIN(600,INT((CO26/CP26*40)+0.5+0.000000001)),0)</f>
        <v>280</v>
      </c>
      <c r="CR26" s="15" t="n">
        <f aca="false">$V$9+CT26</f>
        <v>0</v>
      </c>
      <c r="CS26" s="15" t="n">
        <f aca="false">IF(CK26&lt;32,6,IF(CK26&gt;40,8,CHOOSE(CK26-31,6,6,6,7,7,7,7,7,8)))</f>
        <v>7</v>
      </c>
      <c r="CT26" s="15" t="n">
        <f aca="false">$V$10+MAX(0,CH26-$V$8)+CJ26*IF($U$2&lt;5,1,0)</f>
        <v>0</v>
      </c>
      <c r="CU26" s="15" t="n">
        <f aca="false">$V$11+CN26+CJ26*$U$2</f>
        <v>189</v>
      </c>
      <c r="CV26" s="15" t="n">
        <f aca="false">IF(CQ26&gt;=200,1,0)</f>
        <v>1</v>
      </c>
      <c r="CW26" s="15" t="n">
        <f aca="false">IF(CR26&lt;=CS26,1,0)</f>
        <v>1</v>
      </c>
      <c r="CX26" s="15" t="n">
        <f aca="false">1</f>
        <v>1</v>
      </c>
      <c r="CY26" s="15" t="n">
        <f aca="false">1</f>
        <v>1</v>
      </c>
      <c r="CZ26" s="15" t="n">
        <f aca="false">1</f>
        <v>1</v>
      </c>
      <c r="DA26" s="15" t="n">
        <f aca="false">1</f>
        <v>1</v>
      </c>
      <c r="DB26" s="15" t="n">
        <f aca="false">IF($U$12=0,1,0)</f>
        <v>1</v>
      </c>
      <c r="DC26" s="15" t="n">
        <f aca="false">1</f>
        <v>1</v>
      </c>
      <c r="DD26" s="15" t="n">
        <f aca="false">1</f>
        <v>1</v>
      </c>
      <c r="DE26" s="15" t="n">
        <f aca="false">IF(CF26&lt;0,0,1)</f>
        <v>1</v>
      </c>
      <c r="DF26" s="15" t="n">
        <f aca="false">IF(CV26*CW26*CX26*CY26*CZ26*DA26*DB26*DC26*DD26*DE26=1,1,0)</f>
        <v>1</v>
      </c>
      <c r="DG26" s="15" t="n">
        <f aca="false">$V$6+CI26</f>
        <v>0</v>
      </c>
      <c r="DH26" s="15" t="n">
        <f aca="false">DF26*1000000+CQ26*100+(100-CK26)</f>
        <v>1028065</v>
      </c>
    </row>
    <row r="27" customFormat="false" ht="15" hidden="false" customHeight="false" outlineLevel="0" collapsed="false">
      <c r="L27" s="44" t="s">
        <v>226</v>
      </c>
      <c r="T27" s="15" t="s">
        <v>220</v>
      </c>
      <c r="U27" s="15" t="n">
        <f aca="false">2</f>
        <v>2</v>
      </c>
      <c r="BZ27" s="15" t="n">
        <f aca="false">IFERROR(LARGE($AH$6:$AK$24,26),0)</f>
        <v>0</v>
      </c>
      <c r="CA27" s="15" t="n">
        <f aca="false">CA26+BZ27</f>
        <v>0</v>
      </c>
      <c r="CB27" s="15" t="n">
        <f aca="false">IFERROR(LARGE($AM$6:$AP$24,26),0)</f>
        <v>0</v>
      </c>
      <c r="CC27" s="15" t="n">
        <f aca="false">CC26+CB27</f>
        <v>0</v>
      </c>
      <c r="CE27" s="15" t="n">
        <f aca="false">36</f>
        <v>36</v>
      </c>
      <c r="CF27" s="15" t="n">
        <f aca="false">CE27-$V$5-$V$6-0</f>
        <v>20</v>
      </c>
      <c r="CG27" s="15" t="n">
        <f aca="false">MAX(0,CF27)</f>
        <v>20</v>
      </c>
      <c r="CH27" s="15" t="n">
        <f aca="false">MIN(CG27,$V$7)</f>
        <v>0</v>
      </c>
      <c r="CI27" s="15" t="n">
        <f aca="false">0</f>
        <v>0</v>
      </c>
      <c r="CJ27" s="15" t="n">
        <f aca="false">CG27-CH27</f>
        <v>20</v>
      </c>
      <c r="CK27" s="15" t="n">
        <f aca="false">$V$5+CH27+CJ27</f>
        <v>36</v>
      </c>
      <c r="CL27" s="15" t="n">
        <f aca="false">2*BE6+2*BF6+2*BE7+2*BF7</f>
        <v>112</v>
      </c>
      <c r="CM27" s="15" t="n">
        <f aca="false">2*BG6+2*BH6+2*BG7+2*BH7+1*BG8+1*BH8+1*BG9+1*BH9+SUM($AE$11:$AE$24)</f>
        <v>24</v>
      </c>
      <c r="CN27" s="15" t="n">
        <f aca="false">IF(CH27=0,0,INDEX($CC$2:$CC$57,CH27))</f>
        <v>0</v>
      </c>
      <c r="CO27" s="15" t="n">
        <f aca="false">CL27+$V$11+CN27+CJ27*$U$2</f>
        <v>308</v>
      </c>
      <c r="CP27" s="15" t="n">
        <f aca="false">CM27+CH27+CJ27</f>
        <v>44</v>
      </c>
      <c r="CQ27" s="15" t="n">
        <f aca="false">IF(CP27&gt;0,MIN(600,INT((CO27/CP27*40)+0.5+0.000000001)),0)</f>
        <v>280</v>
      </c>
      <c r="CR27" s="15" t="n">
        <f aca="false">$V$9+CT27</f>
        <v>0</v>
      </c>
      <c r="CS27" s="15" t="n">
        <f aca="false">IF(CK27&lt;32,6,IF(CK27&gt;40,8,CHOOSE(CK27-31,6,6,6,7,7,7,7,7,8)))</f>
        <v>7</v>
      </c>
      <c r="CT27" s="15" t="n">
        <f aca="false">$V$10+MAX(0,CH27-$V$8)+CJ27*IF($U$2&lt;5,1,0)</f>
        <v>0</v>
      </c>
      <c r="CU27" s="15" t="n">
        <f aca="false">$V$11+CN27+CJ27*$U$2</f>
        <v>196</v>
      </c>
      <c r="CV27" s="15" t="n">
        <f aca="false">IF(CQ27&gt;=200,1,0)</f>
        <v>1</v>
      </c>
      <c r="CW27" s="15" t="n">
        <f aca="false">IF(CR27&lt;=CS27,1,0)</f>
        <v>1</v>
      </c>
      <c r="CX27" s="15" t="n">
        <f aca="false">1</f>
        <v>1</v>
      </c>
      <c r="CY27" s="15" t="n">
        <f aca="false">1</f>
        <v>1</v>
      </c>
      <c r="CZ27" s="15" t="n">
        <f aca="false">1</f>
        <v>1</v>
      </c>
      <c r="DA27" s="15" t="n">
        <f aca="false">1</f>
        <v>1</v>
      </c>
      <c r="DB27" s="15" t="n">
        <f aca="false">IF($U$12=0,1,0)</f>
        <v>1</v>
      </c>
      <c r="DC27" s="15" t="n">
        <f aca="false">1</f>
        <v>1</v>
      </c>
      <c r="DD27" s="15" t="n">
        <f aca="false">1</f>
        <v>1</v>
      </c>
      <c r="DE27" s="15" t="n">
        <f aca="false">IF(CF27&lt;0,0,1)</f>
        <v>1</v>
      </c>
      <c r="DF27" s="15" t="n">
        <f aca="false">IF(CV27*CW27*CX27*CY27*CZ27*DA27*DB27*DC27*DD27*DE27=1,1,0)</f>
        <v>1</v>
      </c>
      <c r="DG27" s="15" t="n">
        <f aca="false">$V$6+CI27</f>
        <v>0</v>
      </c>
      <c r="DH27" s="15" t="n">
        <f aca="false">DF27*1000000+CQ27*100+(100-CK27)</f>
        <v>1028064</v>
      </c>
    </row>
    <row r="28" customFormat="false" ht="15" hidden="false" customHeight="false" outlineLevel="0" collapsed="false">
      <c r="B28" s="5" t="s">
        <v>366</v>
      </c>
      <c r="L28" s="8" t="s">
        <v>229</v>
      </c>
      <c r="T28" s="15" t="s">
        <v>222</v>
      </c>
      <c r="U28" s="15" t="n">
        <f aca="false">IF(ISNUMBER($I$6),0,1)+IF(ISNUMBER($I$7),0,1)+IF(ISNUMBER($I$8),0,1)+IF(ISNUMBER($I$9),0,1)</f>
        <v>4</v>
      </c>
      <c r="BZ28" s="15" t="n">
        <f aca="false">IFERROR(LARGE($AH$6:$AK$24,27),0)</f>
        <v>0</v>
      </c>
      <c r="CA28" s="15" t="n">
        <f aca="false">CA27+BZ28</f>
        <v>0</v>
      </c>
      <c r="CB28" s="15" t="n">
        <f aca="false">IFERROR(LARGE($AM$6:$AP$24,27),0)</f>
        <v>0</v>
      </c>
      <c r="CC28" s="15" t="n">
        <f aca="false">CC27+CB28</f>
        <v>0</v>
      </c>
      <c r="CE28" s="15" t="n">
        <f aca="false">37</f>
        <v>37</v>
      </c>
      <c r="CF28" s="15" t="n">
        <f aca="false">CE28-$V$5-$V$6-0</f>
        <v>21</v>
      </c>
      <c r="CG28" s="15" t="n">
        <f aca="false">MAX(0,CF28)</f>
        <v>21</v>
      </c>
      <c r="CH28" s="15" t="n">
        <f aca="false">MIN(CG28,$V$7)</f>
        <v>0</v>
      </c>
      <c r="CI28" s="15" t="n">
        <f aca="false">0</f>
        <v>0</v>
      </c>
      <c r="CJ28" s="15" t="n">
        <f aca="false">CG28-CH28</f>
        <v>21</v>
      </c>
      <c r="CK28" s="15" t="n">
        <f aca="false">$V$5+CH28+CJ28</f>
        <v>37</v>
      </c>
      <c r="CL28" s="15" t="n">
        <f aca="false">2*BE6+2*BF6+2*BE7+2*BF7</f>
        <v>112</v>
      </c>
      <c r="CM28" s="15" t="n">
        <f aca="false">2*BG6+2*BH6+2*BG7+2*BH7+1*BG8+1*BH8+1*BG9+1*BH9+SUM($AE$11:$AE$24)</f>
        <v>24</v>
      </c>
      <c r="CN28" s="15" t="n">
        <f aca="false">IF(CH28=0,0,INDEX($CC$2:$CC$57,CH28))</f>
        <v>0</v>
      </c>
      <c r="CO28" s="15" t="n">
        <f aca="false">CL28+$V$11+CN28+CJ28*$U$2</f>
        <v>315</v>
      </c>
      <c r="CP28" s="15" t="n">
        <f aca="false">CM28+CH28+CJ28</f>
        <v>45</v>
      </c>
      <c r="CQ28" s="15" t="n">
        <f aca="false">IF(CP28&gt;0,MIN(600,INT((CO28/CP28*40)+0.5+0.000000001)),0)</f>
        <v>280</v>
      </c>
      <c r="CR28" s="15" t="n">
        <f aca="false">$V$9+CT28</f>
        <v>0</v>
      </c>
      <c r="CS28" s="15" t="n">
        <f aca="false">IF(CK28&lt;32,6,IF(CK28&gt;40,8,CHOOSE(CK28-31,6,6,6,7,7,7,7,7,8)))</f>
        <v>7</v>
      </c>
      <c r="CT28" s="15" t="n">
        <f aca="false">$V$10+MAX(0,CH28-$V$8)+CJ28*IF($U$2&lt;5,1,0)</f>
        <v>0</v>
      </c>
      <c r="CU28" s="15" t="n">
        <f aca="false">$V$11+CN28+CJ28*$U$2</f>
        <v>203</v>
      </c>
      <c r="CV28" s="15" t="n">
        <f aca="false">IF(CQ28&gt;=200,1,0)</f>
        <v>1</v>
      </c>
      <c r="CW28" s="15" t="n">
        <f aca="false">IF(CR28&lt;=CS28,1,0)</f>
        <v>1</v>
      </c>
      <c r="CX28" s="15" t="n">
        <f aca="false">1</f>
        <v>1</v>
      </c>
      <c r="CY28" s="15" t="n">
        <f aca="false">1</f>
        <v>1</v>
      </c>
      <c r="CZ28" s="15" t="n">
        <f aca="false">1</f>
        <v>1</v>
      </c>
      <c r="DA28" s="15" t="n">
        <f aca="false">1</f>
        <v>1</v>
      </c>
      <c r="DB28" s="15" t="n">
        <f aca="false">IF($U$12=0,1,0)</f>
        <v>1</v>
      </c>
      <c r="DC28" s="15" t="n">
        <f aca="false">1</f>
        <v>1</v>
      </c>
      <c r="DD28" s="15" t="n">
        <f aca="false">1</f>
        <v>1</v>
      </c>
      <c r="DE28" s="15" t="n">
        <f aca="false">IF(CF28&lt;0,0,1)</f>
        <v>1</v>
      </c>
      <c r="DF28" s="15" t="n">
        <f aca="false">IF(CV28*CW28*CX28*CY28*CZ28*DA28*DB28*DC28*DD28*DE28=1,1,0)</f>
        <v>1</v>
      </c>
      <c r="DG28" s="15" t="n">
        <f aca="false">$V$6+CI28</f>
        <v>0</v>
      </c>
      <c r="DH28" s="15" t="n">
        <f aca="false">DF28*1000000+CQ28*100+(100-CK28)</f>
        <v>1028063</v>
      </c>
    </row>
    <row r="29" customFormat="false" ht="15" hidden="false" customHeight="false" outlineLevel="0" collapsed="false">
      <c r="B29" s="12" t="s">
        <v>367</v>
      </c>
      <c r="L29" s="45" t="s">
        <v>232</v>
      </c>
      <c r="T29" s="15" t="s">
        <v>224</v>
      </c>
      <c r="U29" s="15" t="n">
        <f aca="false">IF($U$17&gt;=100,1,0)</f>
        <v>0</v>
      </c>
      <c r="BZ29" s="15" t="n">
        <f aca="false">IFERROR(LARGE($AH$6:$AK$24,28),0)</f>
        <v>0</v>
      </c>
      <c r="CA29" s="15" t="n">
        <f aca="false">CA28+BZ29</f>
        <v>0</v>
      </c>
      <c r="CB29" s="15" t="n">
        <f aca="false">IFERROR(LARGE($AM$6:$AP$24,28),0)</f>
        <v>0</v>
      </c>
      <c r="CC29" s="15" t="n">
        <f aca="false">CC28+CB29</f>
        <v>0</v>
      </c>
      <c r="CE29" s="15" t="n">
        <f aca="false">38</f>
        <v>38</v>
      </c>
      <c r="CF29" s="15" t="n">
        <f aca="false">CE29-$V$5-$V$6-0</f>
        <v>22</v>
      </c>
      <c r="CG29" s="15" t="n">
        <f aca="false">MAX(0,CF29)</f>
        <v>22</v>
      </c>
      <c r="CH29" s="15" t="n">
        <f aca="false">MIN(CG29,$V$7)</f>
        <v>0</v>
      </c>
      <c r="CI29" s="15" t="n">
        <f aca="false">0</f>
        <v>0</v>
      </c>
      <c r="CJ29" s="15" t="n">
        <f aca="false">CG29-CH29</f>
        <v>22</v>
      </c>
      <c r="CK29" s="15" t="n">
        <f aca="false">$V$5+CH29+CJ29</f>
        <v>38</v>
      </c>
      <c r="CL29" s="15" t="n">
        <f aca="false">2*BE6+2*BF6+2*BE7+2*BF7</f>
        <v>112</v>
      </c>
      <c r="CM29" s="15" t="n">
        <f aca="false">2*BG6+2*BH6+2*BG7+2*BH7+1*BG8+1*BH8+1*BG9+1*BH9+SUM($AE$11:$AE$24)</f>
        <v>24</v>
      </c>
      <c r="CN29" s="15" t="n">
        <f aca="false">IF(CH29=0,0,INDEX($CC$2:$CC$57,CH29))</f>
        <v>0</v>
      </c>
      <c r="CO29" s="15" t="n">
        <f aca="false">CL29+$V$11+CN29+CJ29*$U$2</f>
        <v>322</v>
      </c>
      <c r="CP29" s="15" t="n">
        <f aca="false">CM29+CH29+CJ29</f>
        <v>46</v>
      </c>
      <c r="CQ29" s="15" t="n">
        <f aca="false">IF(CP29&gt;0,MIN(600,INT((CO29/CP29*40)+0.5+0.000000001)),0)</f>
        <v>280</v>
      </c>
      <c r="CR29" s="15" t="n">
        <f aca="false">$V$9+CT29</f>
        <v>0</v>
      </c>
      <c r="CS29" s="15" t="n">
        <f aca="false">IF(CK29&lt;32,6,IF(CK29&gt;40,8,CHOOSE(CK29-31,6,6,6,7,7,7,7,7,8)))</f>
        <v>7</v>
      </c>
      <c r="CT29" s="15" t="n">
        <f aca="false">$V$10+MAX(0,CH29-$V$8)+CJ29*IF($U$2&lt;5,1,0)</f>
        <v>0</v>
      </c>
      <c r="CU29" s="15" t="n">
        <f aca="false">$V$11+CN29+CJ29*$U$2</f>
        <v>210</v>
      </c>
      <c r="CV29" s="15" t="n">
        <f aca="false">IF(CQ29&gt;=200,1,0)</f>
        <v>1</v>
      </c>
      <c r="CW29" s="15" t="n">
        <f aca="false">IF(CR29&lt;=CS29,1,0)</f>
        <v>1</v>
      </c>
      <c r="CX29" s="15" t="n">
        <f aca="false">1</f>
        <v>1</v>
      </c>
      <c r="CY29" s="15" t="n">
        <f aca="false">1</f>
        <v>1</v>
      </c>
      <c r="CZ29" s="15" t="n">
        <f aca="false">1</f>
        <v>1</v>
      </c>
      <c r="DA29" s="15" t="n">
        <f aca="false">1</f>
        <v>1</v>
      </c>
      <c r="DB29" s="15" t="n">
        <f aca="false">IF($U$12=0,1,0)</f>
        <v>1</v>
      </c>
      <c r="DC29" s="15" t="n">
        <f aca="false">1</f>
        <v>1</v>
      </c>
      <c r="DD29" s="15" t="n">
        <f aca="false">1</f>
        <v>1</v>
      </c>
      <c r="DE29" s="15" t="n">
        <f aca="false">IF(CF29&lt;0,0,1)</f>
        <v>1</v>
      </c>
      <c r="DF29" s="15" t="n">
        <f aca="false">IF(CV29*CW29*CX29*CY29*CZ29*DA29*DB29*DC29*DD29*DE29=1,1,0)</f>
        <v>1</v>
      </c>
      <c r="DG29" s="15" t="n">
        <f aca="false">$V$6+CI29</f>
        <v>0</v>
      </c>
      <c r="DH29" s="15" t="n">
        <f aca="false">DF29*1000000+CQ29*100+(100-CK29)</f>
        <v>1028062</v>
      </c>
    </row>
    <row r="30" customFormat="false" ht="15" hidden="false" customHeight="false" outlineLevel="0" collapsed="false">
      <c r="B30" s="12" t="s">
        <v>368</v>
      </c>
      <c r="L30" s="46" t="s">
        <v>235</v>
      </c>
      <c r="T30" s="15" t="s">
        <v>227</v>
      </c>
      <c r="U30" s="15" t="n">
        <f aca="false">IF(AND($U$18&gt;=$U$27,$U$19&gt;=1),1,0)</f>
        <v>0</v>
      </c>
      <c r="BZ30" s="15" t="n">
        <f aca="false">IFERROR(LARGE($AH$6:$AK$24,29),0)</f>
        <v>0</v>
      </c>
      <c r="CA30" s="15" t="n">
        <f aca="false">CA29+BZ30</f>
        <v>0</v>
      </c>
      <c r="CB30" s="15" t="n">
        <f aca="false">IFERROR(LARGE($AM$6:$AP$24,29),0)</f>
        <v>0</v>
      </c>
      <c r="CC30" s="15" t="n">
        <f aca="false">CC29+CB30</f>
        <v>0</v>
      </c>
      <c r="CE30" s="15" t="n">
        <f aca="false">39</f>
        <v>39</v>
      </c>
      <c r="CF30" s="15" t="n">
        <f aca="false">CE30-$V$5-$V$6-0</f>
        <v>23</v>
      </c>
      <c r="CG30" s="15" t="n">
        <f aca="false">MAX(0,CF30)</f>
        <v>23</v>
      </c>
      <c r="CH30" s="15" t="n">
        <f aca="false">MIN(CG30,$V$7)</f>
        <v>0</v>
      </c>
      <c r="CI30" s="15" t="n">
        <f aca="false">0</f>
        <v>0</v>
      </c>
      <c r="CJ30" s="15" t="n">
        <f aca="false">CG30-CH30</f>
        <v>23</v>
      </c>
      <c r="CK30" s="15" t="n">
        <f aca="false">$V$5+CH30+CJ30</f>
        <v>39</v>
      </c>
      <c r="CL30" s="15" t="n">
        <f aca="false">2*BE6+2*BF6+2*BE7+2*BF7</f>
        <v>112</v>
      </c>
      <c r="CM30" s="15" t="n">
        <f aca="false">2*BG6+2*BH6+2*BG7+2*BH7+1*BG8+1*BH8+1*BG9+1*BH9+SUM($AE$11:$AE$24)</f>
        <v>24</v>
      </c>
      <c r="CN30" s="15" t="n">
        <f aca="false">IF(CH30=0,0,INDEX($CC$2:$CC$57,CH30))</f>
        <v>0</v>
      </c>
      <c r="CO30" s="15" t="n">
        <f aca="false">CL30+$V$11+CN30+CJ30*$U$2</f>
        <v>329</v>
      </c>
      <c r="CP30" s="15" t="n">
        <f aca="false">CM30+CH30+CJ30</f>
        <v>47</v>
      </c>
      <c r="CQ30" s="15" t="n">
        <f aca="false">IF(CP30&gt;0,MIN(600,INT((CO30/CP30*40)+0.5+0.000000001)),0)</f>
        <v>280</v>
      </c>
      <c r="CR30" s="15" t="n">
        <f aca="false">$V$9+CT30</f>
        <v>0</v>
      </c>
      <c r="CS30" s="15" t="n">
        <f aca="false">IF(CK30&lt;32,6,IF(CK30&gt;40,8,CHOOSE(CK30-31,6,6,6,7,7,7,7,7,8)))</f>
        <v>7</v>
      </c>
      <c r="CT30" s="15" t="n">
        <f aca="false">$V$10+MAX(0,CH30-$V$8)+CJ30*IF($U$2&lt;5,1,0)</f>
        <v>0</v>
      </c>
      <c r="CU30" s="15" t="n">
        <f aca="false">$V$11+CN30+CJ30*$U$2</f>
        <v>217</v>
      </c>
      <c r="CV30" s="15" t="n">
        <f aca="false">IF(CQ30&gt;=200,1,0)</f>
        <v>1</v>
      </c>
      <c r="CW30" s="15" t="n">
        <f aca="false">IF(CR30&lt;=CS30,1,0)</f>
        <v>1</v>
      </c>
      <c r="CX30" s="15" t="n">
        <f aca="false">1</f>
        <v>1</v>
      </c>
      <c r="CY30" s="15" t="n">
        <f aca="false">1</f>
        <v>1</v>
      </c>
      <c r="CZ30" s="15" t="n">
        <f aca="false">1</f>
        <v>1</v>
      </c>
      <c r="DA30" s="15" t="n">
        <f aca="false">1</f>
        <v>1</v>
      </c>
      <c r="DB30" s="15" t="n">
        <f aca="false">IF($U$12=0,1,0)</f>
        <v>1</v>
      </c>
      <c r="DC30" s="15" t="n">
        <f aca="false">1</f>
        <v>1</v>
      </c>
      <c r="DD30" s="15" t="n">
        <f aca="false">1</f>
        <v>1</v>
      </c>
      <c r="DE30" s="15" t="n">
        <f aca="false">IF(CF30&lt;0,0,1)</f>
        <v>1</v>
      </c>
      <c r="DF30" s="15" t="n">
        <f aca="false">IF(CV30*CW30*CX30*CY30*CZ30*DA30*DB30*DC30*DD30*DE30=1,1,0)</f>
        <v>1</v>
      </c>
      <c r="DG30" s="15" t="n">
        <f aca="false">$V$6+CI30</f>
        <v>0</v>
      </c>
      <c r="DH30" s="15" t="n">
        <f aca="false">DF30*1000000+CQ30*100+(100-CK30)</f>
        <v>1028061</v>
      </c>
    </row>
    <row r="31" customFormat="false" ht="15" hidden="false" customHeight="false" outlineLevel="0" collapsed="false">
      <c r="B31" s="12" t="s">
        <v>369</v>
      </c>
      <c r="L31" s="47" t="s">
        <v>238</v>
      </c>
      <c r="T31" s="15" t="s">
        <v>233</v>
      </c>
      <c r="U31" s="15" t="n">
        <f aca="false">$U$29*$U$30</f>
        <v>0</v>
      </c>
      <c r="BZ31" s="15" t="n">
        <f aca="false">IFERROR(LARGE($AH$6:$AK$24,30),0)</f>
        <v>0</v>
      </c>
      <c r="CA31" s="15" t="n">
        <f aca="false">CA30+BZ31</f>
        <v>0</v>
      </c>
      <c r="CB31" s="15" t="n">
        <f aca="false">IFERROR(LARGE($AM$6:$AP$24,30),0)</f>
        <v>0</v>
      </c>
      <c r="CC31" s="15" t="n">
        <f aca="false">CC30+CB31</f>
        <v>0</v>
      </c>
      <c r="CE31" s="15" t="n">
        <f aca="false">40</f>
        <v>40</v>
      </c>
      <c r="CF31" s="15" t="n">
        <f aca="false">CE31-$V$5-$V$6-0</f>
        <v>24</v>
      </c>
      <c r="CG31" s="15" t="n">
        <f aca="false">MAX(0,CF31)</f>
        <v>24</v>
      </c>
      <c r="CH31" s="15" t="n">
        <f aca="false">MIN(CG31,$V$7)</f>
        <v>0</v>
      </c>
      <c r="CI31" s="15" t="n">
        <f aca="false">0</f>
        <v>0</v>
      </c>
      <c r="CJ31" s="15" t="n">
        <f aca="false">CG31-CH31</f>
        <v>24</v>
      </c>
      <c r="CK31" s="15" t="n">
        <f aca="false">$V$5+CH31+CJ31</f>
        <v>40</v>
      </c>
      <c r="CL31" s="15" t="n">
        <f aca="false">2*BE6+2*BF6+2*BE7+2*BF7</f>
        <v>112</v>
      </c>
      <c r="CM31" s="15" t="n">
        <f aca="false">2*BG6+2*BH6+2*BG7+2*BH7+1*BG8+1*BH8+1*BG9+1*BH9+SUM($AE$11:$AE$24)</f>
        <v>24</v>
      </c>
      <c r="CN31" s="15" t="n">
        <f aca="false">IF(CH31=0,0,INDEX($CC$2:$CC$57,CH31))</f>
        <v>0</v>
      </c>
      <c r="CO31" s="15" t="n">
        <f aca="false">CL31+$V$11+CN31+CJ31*$U$2</f>
        <v>336</v>
      </c>
      <c r="CP31" s="15" t="n">
        <f aca="false">CM31+CH31+CJ31</f>
        <v>48</v>
      </c>
      <c r="CQ31" s="15" t="n">
        <f aca="false">IF(CP31&gt;0,MIN(600,INT((CO31/CP31*40)+0.5+0.000000001)),0)</f>
        <v>280</v>
      </c>
      <c r="CR31" s="15" t="n">
        <f aca="false">$V$9+CT31</f>
        <v>0</v>
      </c>
      <c r="CS31" s="15" t="n">
        <f aca="false">IF(CK31&lt;32,6,IF(CK31&gt;40,8,CHOOSE(CK31-31,6,6,6,7,7,7,7,7,8)))</f>
        <v>8</v>
      </c>
      <c r="CT31" s="15" t="n">
        <f aca="false">$V$10+MAX(0,CH31-$V$8)+CJ31*IF($U$2&lt;5,1,0)</f>
        <v>0</v>
      </c>
      <c r="CU31" s="15" t="n">
        <f aca="false">$V$11+CN31+CJ31*$U$2</f>
        <v>224</v>
      </c>
      <c r="CV31" s="15" t="n">
        <f aca="false">IF(CQ31&gt;=200,1,0)</f>
        <v>1</v>
      </c>
      <c r="CW31" s="15" t="n">
        <f aca="false">IF(CR31&lt;=CS31,1,0)</f>
        <v>1</v>
      </c>
      <c r="CX31" s="15" t="n">
        <f aca="false">1</f>
        <v>1</v>
      </c>
      <c r="CY31" s="15" t="n">
        <f aca="false">1</f>
        <v>1</v>
      </c>
      <c r="CZ31" s="15" t="n">
        <f aca="false">1</f>
        <v>1</v>
      </c>
      <c r="DA31" s="15" t="n">
        <f aca="false">1</f>
        <v>1</v>
      </c>
      <c r="DB31" s="15" t="n">
        <f aca="false">IF($U$12=0,1,0)</f>
        <v>1</v>
      </c>
      <c r="DC31" s="15" t="n">
        <f aca="false">1</f>
        <v>1</v>
      </c>
      <c r="DD31" s="15" t="n">
        <f aca="false">1</f>
        <v>1</v>
      </c>
      <c r="DE31" s="15" t="n">
        <f aca="false">IF(CF31&lt;0,0,1)</f>
        <v>1</v>
      </c>
      <c r="DF31" s="15" t="n">
        <f aca="false">IF(CV31*CW31*CX31*CY31*CZ31*DA31*DB31*DC31*DD31*DE31=1,1,0)</f>
        <v>1</v>
      </c>
      <c r="DG31" s="15" t="n">
        <f aca="false">$V$6+CI31</f>
        <v>0</v>
      </c>
      <c r="DH31" s="15" t="n">
        <f aca="false">DF31*1000000+CQ31*100+(100-CK31)</f>
        <v>1028060</v>
      </c>
    </row>
    <row r="32" customFormat="false" ht="15" hidden="false" customHeight="false" outlineLevel="0" collapsed="false">
      <c r="B32" s="12" t="s">
        <v>370</v>
      </c>
      <c r="T32" s="15" t="s">
        <v>236</v>
      </c>
      <c r="U32" s="15" t="n">
        <f aca="false">IF($U$22&gt;=100,1,0)</f>
        <v>1</v>
      </c>
      <c r="BZ32" s="15" t="n">
        <f aca="false">IFERROR(LARGE($AH$6:$AK$24,31),0)</f>
        <v>0</v>
      </c>
      <c r="CA32" s="15" t="n">
        <f aca="false">CA31+BZ32</f>
        <v>0</v>
      </c>
      <c r="CB32" s="15" t="n">
        <f aca="false">IFERROR(LARGE($AM$6:$AP$24,31),0)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371</v>
      </c>
      <c r="L33" s="48" t="s">
        <v>242</v>
      </c>
      <c r="T33" s="15" t="s">
        <v>239</v>
      </c>
      <c r="U33" s="15" t="n">
        <f aca="false">IF(AND($U$23&gt;=$U$27,$U$24&gt;=1),1,0)</f>
        <v>1</v>
      </c>
      <c r="BZ33" s="15" t="n">
        <f aca="false">IFERROR(LARGE($AH$6:$AK$24,32),0)</f>
        <v>0</v>
      </c>
      <c r="CA33" s="15" t="n">
        <f aca="false">CA32+BZ33</f>
        <v>0</v>
      </c>
      <c r="CB33" s="15" t="n">
        <f aca="false">IFERROR(LARGE($AM$6:$AP$24,32),0)</f>
        <v>0</v>
      </c>
      <c r="CC33" s="15" t="n">
        <f aca="false">CC32+CB33</f>
        <v>0</v>
      </c>
    </row>
    <row r="34" customFormat="false" ht="15" hidden="false" customHeight="false" outlineLevel="0" collapsed="false">
      <c r="L34" s="48" t="s">
        <v>245</v>
      </c>
      <c r="T34" s="15" t="s">
        <v>243</v>
      </c>
      <c r="U34" s="15" t="n">
        <f aca="false">$U$32*$U$33</f>
        <v>1</v>
      </c>
      <c r="BZ34" s="15" t="n">
        <f aca="false">IFERROR(LARGE($AH$6:$AK$24,33),0)</f>
        <v>0</v>
      </c>
      <c r="CA34" s="15" t="n">
        <f aca="false">CA33+BZ34</f>
        <v>0</v>
      </c>
      <c r="CB34" s="15" t="n">
        <f aca="false">IFERROR(LARGE($AM$6:$AP$24,33),0)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8" t="s">
        <v>372</v>
      </c>
      <c r="T35" s="15" t="s">
        <v>246</v>
      </c>
      <c r="U35" s="15" t="n">
        <f aca="false">INDEX($DG$3:$DG$11,$U$13)+$U$28</f>
        <v>36</v>
      </c>
      <c r="BZ35" s="15" t="n">
        <f aca="false">IFERROR(LARGE($AH$6:$AK$24,34),0)</f>
        <v>0</v>
      </c>
      <c r="CA35" s="15" t="n">
        <f aca="false">CA34+BZ35</f>
        <v>0</v>
      </c>
      <c r="CB35" s="15" t="n">
        <f aca="false">IFERROR(LARGE($AM$6:$AP$24,34),0)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49" t="s">
        <v>373</v>
      </c>
      <c r="T36" s="15" t="s">
        <v>247</v>
      </c>
      <c r="U36" s="15" t="n">
        <f aca="false">IF($U$35=0,1,0)</f>
        <v>0</v>
      </c>
      <c r="BZ36" s="15" t="n">
        <f aca="false">IFERROR(LARGE($AH$6:$AK$24,35),0)</f>
        <v>0</v>
      </c>
      <c r="CA36" s="15" t="n">
        <f aca="false">CA35+BZ36</f>
        <v>0</v>
      </c>
      <c r="CB36" s="15" t="n">
        <f aca="false">IFERROR(LARGE($AM$6:$AP$24,35),0)</f>
        <v>0</v>
      </c>
      <c r="CC36" s="15" t="n">
        <f aca="false">CC35+CB36</f>
        <v>0</v>
      </c>
    </row>
    <row r="37" customFormat="false" ht="15" hidden="false" customHeight="false" outlineLevel="0" collapsed="false">
      <c r="T37" s="15" t="s">
        <v>249</v>
      </c>
      <c r="U37" s="15" t="n">
        <f aca="false">IF($U$36=1,INDEX($CQ$3:$CQ$11,$U$13),INDEX($CQ$23:$CQ$31,$U$14))</f>
        <v>280</v>
      </c>
      <c r="BZ37" s="15" t="n">
        <f aca="false">IFERROR(LARGE($AH$6:$AK$24,36),0)</f>
        <v>0</v>
      </c>
      <c r="CA37" s="15" t="n">
        <f aca="false">CA36+BZ37</f>
        <v>0</v>
      </c>
      <c r="CB37" s="15" t="n">
        <f aca="false">IFERROR(LARGE($AM$6:$AP$24,36),0)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0" t="s">
        <v>374</v>
      </c>
      <c r="T38" s="15" t="s">
        <v>251</v>
      </c>
      <c r="U38" s="15" t="n">
        <f aca="false">IF($U$36=1,INDEX($CK$3:$CK$11,$U$13),INDEX($CK$23:$CK$31,$U$14))</f>
        <v>32</v>
      </c>
      <c r="BZ38" s="15" t="n">
        <f aca="false">IFERROR(LARGE($AH$6:$AK$24,37),0)</f>
        <v>0</v>
      </c>
      <c r="CA38" s="15" t="n">
        <f aca="false">CA37+BZ38</f>
        <v>0</v>
      </c>
      <c r="CB38" s="15" t="n">
        <f aca="false">IFERROR(LARGE($AM$6:$AP$24,37),0)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1" t="s">
        <v>250</v>
      </c>
      <c r="T39" s="15" t="s">
        <v>252</v>
      </c>
      <c r="U39" s="15" t="n">
        <f aca="false">IF($U$36=1,INDEX($CR$3:$CR$11,$U$13),INDEX($CR$23:$CR$31,$U$14))</f>
        <v>0</v>
      </c>
      <c r="BZ39" s="15" t="n">
        <f aca="false">IFERROR(LARGE($AH$6:$AK$24,38),0)</f>
        <v>0</v>
      </c>
      <c r="CA39" s="15" t="n">
        <f aca="false">CA38+BZ39</f>
        <v>0</v>
      </c>
      <c r="CB39" s="15" t="n">
        <f aca="false">IFERROR(LARGE($AM$6:$AP$24,38),0)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253</v>
      </c>
      <c r="U40" s="15" t="n">
        <f aca="false">IF($U$36=1,INDEX($CS$3:$CS$11,$U$13),INDEX($CS$23:$CS$31,$U$14))</f>
        <v>6</v>
      </c>
      <c r="BZ40" s="15" t="n">
        <f aca="false">IFERROR(LARGE($AH$6:$AK$24,39),0)</f>
        <v>0</v>
      </c>
      <c r="CA40" s="15" t="n">
        <f aca="false">CA39+BZ40</f>
        <v>0</v>
      </c>
      <c r="CB40" s="15" t="n">
        <f aca="false">IFERROR(LARGE($AM$6:$AP$24,39),0)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254</v>
      </c>
      <c r="U41" s="15" t="n">
        <f aca="false">IF($U$36=1,INDEX($CT$3:$CT$11,$U$13),INDEX($CT$23:$CT$31,$U$14))</f>
        <v>0</v>
      </c>
      <c r="BZ41" s="15" t="n">
        <f aca="false">IFERROR(LARGE($AH$6:$AK$24,40),0)</f>
        <v>0</v>
      </c>
      <c r="CA41" s="15" t="n">
        <f aca="false">CA40+BZ41</f>
        <v>0</v>
      </c>
      <c r="CB41" s="15" t="n">
        <f aca="false">IFERROR(LARGE($AM$6:$AP$24,40),0)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255</v>
      </c>
      <c r="U42" s="15" t="n">
        <f aca="false">IF($U$36=1,INDEX($CL$3:$CL$11,$U$13),INDEX($CL$23:$CL$31,$U$14))</f>
        <v>112</v>
      </c>
      <c r="BZ42" s="15" t="n">
        <f aca="false">IFERROR(LARGE($AH$6:$AK$24,41),0)</f>
        <v>0</v>
      </c>
      <c r="CA42" s="15" t="n">
        <f aca="false">CA41+BZ42</f>
        <v>0</v>
      </c>
      <c r="CB42" s="15" t="n">
        <f aca="false">IFERROR(LARGE($AM$6:$AP$24,41),0)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256</v>
      </c>
      <c r="U43" s="15" t="n">
        <f aca="false">IF($U$36=1,INDEX($CU$3:$CU$11,$U$13),INDEX($CU$23:$CU$31,$U$14))</f>
        <v>168</v>
      </c>
      <c r="BZ43" s="15" t="n">
        <f aca="false">IFERROR(LARGE($AH$6:$AK$24,42),0)</f>
        <v>0</v>
      </c>
      <c r="CA43" s="15" t="n">
        <f aca="false">CA42+BZ43</f>
        <v>0</v>
      </c>
      <c r="CB43" s="15" t="n">
        <f aca="false">IFERROR(LARGE($AM$6:$AP$24,42),0)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257</v>
      </c>
      <c r="U44" s="15" t="n">
        <f aca="false">IF($U$36=1,INDEX($CP$3:$CP$11,$U$13),INDEX($CP$23:$CP$31,$U$14))</f>
        <v>40</v>
      </c>
      <c r="BZ44" s="15" t="n">
        <f aca="false">IFERROR(LARGE($AH$6:$AK$24,43),0)</f>
        <v>0</v>
      </c>
      <c r="CA44" s="15" t="n">
        <f aca="false">CA43+BZ44</f>
        <v>0</v>
      </c>
      <c r="CB44" s="15" t="n">
        <f aca="false">IFERROR(LARGE($AM$6:$AP$24,43),0)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258</v>
      </c>
      <c r="U45" s="15" t="n">
        <f aca="false">IF($U$36=1,INDEX($CO$3:$CO$11,$U$13),INDEX($CO$23:$CO$31,$U$14))</f>
        <v>280</v>
      </c>
      <c r="BZ45" s="15" t="n">
        <f aca="false">IFERROR(LARGE($AH$6:$AK$24,44),0)</f>
        <v>0</v>
      </c>
      <c r="CA45" s="15" t="n">
        <f aca="false">CA44+BZ45</f>
        <v>0</v>
      </c>
      <c r="CB45" s="15" t="n">
        <f aca="false">IFERROR(LARGE($AM$6:$AP$24,44),0)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259</v>
      </c>
      <c r="U46" s="15" t="n">
        <f aca="false">IF($U$36=1,INDEX($CH$3:$CH$11,$U$13),INDEX($CH$23:$CH$31,$U$14))</f>
        <v>0</v>
      </c>
      <c r="BZ46" s="15" t="n">
        <f aca="false">IFERROR(LARGE($AH$6:$AK$24,45),0)</f>
        <v>0</v>
      </c>
      <c r="CA46" s="15" t="n">
        <f aca="false">CA45+BZ46</f>
        <v>0</v>
      </c>
      <c r="CB46" s="15" t="n">
        <f aca="false">IFERROR(LARGE($AM$6:$AP$24,45),0)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260</v>
      </c>
      <c r="U47" s="15" t="n">
        <f aca="false">IF($U$36=1,INDEX($DF$3:$DF$11,$U$13),INDEX($DF$23:$DF$31,$U$14))</f>
        <v>1</v>
      </c>
      <c r="BZ47" s="15" t="n">
        <f aca="false">IFERROR(LARGE($AH$6:$AK$24,46),0)</f>
        <v>0</v>
      </c>
      <c r="CA47" s="15" t="n">
        <f aca="false">CA46+BZ47</f>
        <v>0</v>
      </c>
      <c r="CB47" s="15" t="n">
        <f aca="false">IFERROR(LARGE($AM$6:$AP$24,46),0)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261</v>
      </c>
      <c r="U48" s="15" t="n">
        <f aca="false">IF($U$36=1,INDEX($CV$3:$CV$11,$U$13),INDEX($CV$23:$CV$31,$U$14))</f>
        <v>1</v>
      </c>
      <c r="BZ48" s="15" t="n">
        <f aca="false">IFERROR(LARGE($AH$6:$AK$24,47),0)</f>
        <v>0</v>
      </c>
      <c r="CA48" s="15" t="n">
        <f aca="false">CA47+BZ48</f>
        <v>0</v>
      </c>
      <c r="CB48" s="15" t="n">
        <f aca="false">IFERROR(LARGE($AM$6:$AP$24,47),0)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262</v>
      </c>
      <c r="U49" s="15" t="n">
        <f aca="false">IF($U$36=1,INDEX($CW$3:$CW$11,$U$13),INDEX($CW$23:$CW$31,$U$14))</f>
        <v>1</v>
      </c>
      <c r="BZ49" s="15" t="n">
        <f aca="false">IFERROR(LARGE($AH$6:$AK$24,48),0)</f>
        <v>0</v>
      </c>
      <c r="CA49" s="15" t="n">
        <f aca="false">CA48+BZ49</f>
        <v>0</v>
      </c>
      <c r="CB49" s="15" t="n">
        <f aca="false">IFERROR(LARGE($AM$6:$AP$24,48),0)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263</v>
      </c>
      <c r="U50" s="15" t="n">
        <f aca="false">IF($U$36=1,INDEX($CX$3:$CX$11,$U$13),INDEX($CX$23:$CX$31,$U$14))</f>
        <v>1</v>
      </c>
      <c r="BZ50" s="15" t="n">
        <f aca="false">IFERROR(LARGE($AH$6:$AK$24,49),0)</f>
        <v>0</v>
      </c>
      <c r="CA50" s="15" t="n">
        <f aca="false">CA49+BZ50</f>
        <v>0</v>
      </c>
      <c r="CB50" s="15" t="n">
        <f aca="false">IFERROR(LARGE($AM$6:$AP$24,49),0)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264</v>
      </c>
      <c r="U51" s="15" t="n">
        <f aca="false">IF($U$36=1,INDEX($CY$3:$CY$11,$U$13),INDEX($CY$23:$CY$31,$U$14))</f>
        <v>1</v>
      </c>
      <c r="BZ51" s="15" t="n">
        <f aca="false">IFERROR(LARGE($AH$6:$AK$24,50),0)</f>
        <v>0</v>
      </c>
      <c r="CA51" s="15" t="n">
        <f aca="false">CA50+BZ51</f>
        <v>0</v>
      </c>
      <c r="CB51" s="15" t="n">
        <f aca="false">IFERROR(LARGE($AM$6:$AP$24,50),0)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265</v>
      </c>
      <c r="U52" s="15" t="n">
        <f aca="false">IF($U$36=1,INDEX($CZ$3:$CZ$11,$U$13),INDEX($CZ$23:$CZ$31,$U$14))</f>
        <v>1</v>
      </c>
      <c r="BZ52" s="15" t="n">
        <f aca="false">IFERROR(LARGE($AH$6:$AK$24,51),0)</f>
        <v>0</v>
      </c>
      <c r="CA52" s="15" t="n">
        <f aca="false">CA51+BZ52</f>
        <v>0</v>
      </c>
      <c r="CB52" s="15" t="n">
        <f aca="false">IFERROR(LARGE($AM$6:$AP$24,51),0)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266</v>
      </c>
      <c r="U53" s="15" t="n">
        <f aca="false">IF($U$36=1,INDEX($DA$3:$DA$11,$U$13),INDEX($DA$23:$DA$31,$U$14))</f>
        <v>1</v>
      </c>
      <c r="BZ53" s="15" t="n">
        <f aca="false">IFERROR(LARGE($AH$6:$AK$24,52),0)</f>
        <v>0</v>
      </c>
      <c r="CA53" s="15" t="n">
        <f aca="false">CA52+BZ53</f>
        <v>0</v>
      </c>
      <c r="CB53" s="15" t="n">
        <f aca="false">IFERROR(LARGE($AM$6:$AP$24,52),0)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267</v>
      </c>
      <c r="U54" s="15" t="n">
        <f aca="false">IF($U$36=1,INDEX($DB$3:$DB$11,$U$13),INDEX($DB$23:$DB$31,$U$14))</f>
        <v>1</v>
      </c>
      <c r="BZ54" s="15" t="n">
        <f aca="false">IFERROR(LARGE($AH$6:$AK$24,53),0)</f>
        <v>0</v>
      </c>
      <c r="CA54" s="15" t="n">
        <f aca="false">CA53+BZ54</f>
        <v>0</v>
      </c>
      <c r="CB54" s="15" t="n">
        <f aca="false">IFERROR(LARGE($AM$6:$AP$24,53),0)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268</v>
      </c>
      <c r="U55" s="15" t="n">
        <f aca="false">IF($U$36=1,INDEX($DC$3:$DC$11,$U$13),INDEX($DC$23:$DC$31,$U$14))</f>
        <v>1</v>
      </c>
      <c r="BZ55" s="15" t="n">
        <f aca="false">IFERROR(LARGE($AH$6:$AK$24,54),0)</f>
        <v>0</v>
      </c>
      <c r="CA55" s="15" t="n">
        <f aca="false">CA54+BZ55</f>
        <v>0</v>
      </c>
      <c r="CB55" s="15" t="n">
        <f aca="false">IFERROR(LARGE($AM$6:$AP$24,54),0)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269</v>
      </c>
      <c r="U56" s="15" t="n">
        <f aca="false">IF($U$36=1,INDEX($DD$3:$DD$11,$U$13),INDEX($DD$23:$DD$31,$U$14))</f>
        <v>1</v>
      </c>
      <c r="BZ56" s="15" t="n">
        <f aca="false">IFERROR(LARGE($AH$6:$AK$24,55),0)</f>
        <v>0</v>
      </c>
      <c r="CA56" s="15" t="n">
        <f aca="false">CA55+BZ56</f>
        <v>0</v>
      </c>
      <c r="CB56" s="15" t="n">
        <f aca="false">IFERROR(LARGE($AM$6:$AP$24,55),0)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270</v>
      </c>
      <c r="U57" s="15" t="n">
        <f aca="false">IF($U$36=1,INDEX($DE$3:$DE$11,$U$13),INDEX($DE$23:$DE$31,$U$14))</f>
        <v>1</v>
      </c>
      <c r="BZ57" s="15" t="n">
        <f aca="false">IFERROR(LARGE($AH$6:$AK$24,56),0)</f>
        <v>0</v>
      </c>
      <c r="CA57" s="15" t="n">
        <f aca="false">CA56+BZ57</f>
        <v>0</v>
      </c>
      <c r="CB57" s="15" t="n">
        <f aca="false">IFERROR(LARGE($AM$6:$AP$24,56),0)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271</v>
      </c>
      <c r="U58" s="15" t="n">
        <f aca="false">IF($U$36=1,$U$13,$U$14)</f>
        <v>1</v>
      </c>
    </row>
    <row r="59" customFormat="false" ht="15" hidden="false" customHeight="false" outlineLevel="0" collapsed="false">
      <c r="T59" s="15" t="s">
        <v>272</v>
      </c>
      <c r="U59" s="15" t="n">
        <f aca="false">IF($U$36=1,$U$9,$V$9)</f>
        <v>0</v>
      </c>
    </row>
    <row r="60" customFormat="false" ht="15" hidden="false" customHeight="false" outlineLevel="0" collapsed="false">
      <c r="T60" s="15" t="s">
        <v>273</v>
      </c>
      <c r="U60" s="15" t="n">
        <f aca="false">IF($U$36=1,$U$17,$U$22)</f>
        <v>140</v>
      </c>
    </row>
    <row r="61" customFormat="false" ht="15" hidden="false" customHeight="false" outlineLevel="0" collapsed="false">
      <c r="T61" s="15" t="s">
        <v>274</v>
      </c>
      <c r="U61" s="15" t="n">
        <f aca="false">IF($U$36=1,$U$18,$U$23)</f>
        <v>4</v>
      </c>
    </row>
    <row r="62" customFormat="false" ht="15" hidden="false" customHeight="false" outlineLevel="0" collapsed="false">
      <c r="T62" s="15" t="s">
        <v>275</v>
      </c>
      <c r="U62" s="15" t="n">
        <f aca="false">IF($U$36=1,$U$29,$U$32)</f>
        <v>1</v>
      </c>
    </row>
    <row r="63" customFormat="false" ht="15" hidden="false" customHeight="false" outlineLevel="0" collapsed="false">
      <c r="T63" s="15" t="s">
        <v>276</v>
      </c>
      <c r="U63" s="15" t="n">
        <f aca="false">IF($U$36=1,$U$30,$U$33)</f>
        <v>1</v>
      </c>
    </row>
    <row r="64" customFormat="false" ht="15" hidden="false" customHeight="false" outlineLevel="0" collapsed="false">
      <c r="T64" s="15" t="s">
        <v>278</v>
      </c>
      <c r="U64" s="15" t="n">
        <f aca="false">IF($U$36=1,$U$31,$U$34)</f>
        <v>1</v>
      </c>
    </row>
    <row r="65" customFormat="false" ht="15" hidden="false" customHeight="false" outlineLevel="0" collapsed="false">
      <c r="T65" s="15" t="s">
        <v>188</v>
      </c>
      <c r="U65" s="15" t="n">
        <f aca="false">$U$37+$U$60</f>
        <v>420</v>
      </c>
    </row>
    <row r="66" customFormat="false" ht="15" hidden="false" customHeight="false" outlineLevel="0" collapsed="false">
      <c r="T66" s="15" t="s">
        <v>279</v>
      </c>
      <c r="U66" s="15" t="n">
        <f aca="false">IF($U$65&gt;=300,1,0)</f>
        <v>1</v>
      </c>
    </row>
    <row r="67" customFormat="false" ht="15" hidden="false" customHeight="false" outlineLevel="0" collapsed="false">
      <c r="T67" s="15" t="s">
        <v>280</v>
      </c>
      <c r="U67" s="15" t="n">
        <f aca="false">IF($U$47*$U$64*$U$66=1,1,0)</f>
        <v>1</v>
      </c>
    </row>
    <row r="68" customFormat="false" ht="15" hidden="false" customHeight="false" outlineLevel="0" collapsed="false">
      <c r="T68" s="15" t="s">
        <v>281</v>
      </c>
      <c r="U68" s="15" t="n">
        <f aca="false">IF($U$65&lt;300,"",MAX(10,MIN(40,INT((1020-$U$65)/18))))</f>
        <v>33</v>
      </c>
    </row>
    <row r="69" customFormat="false" ht="15" hidden="false" customHeight="false" outlineLevel="0" collapsed="false">
      <c r="T69" s="15" t="s">
        <v>282</v>
      </c>
      <c r="U69" s="15" t="n">
        <f aca="false">IF($U$68="",MAX(0,300-$U$65),IF($U$68&gt;10,1021-18*$U$68-$U$65,""))</f>
        <v>7</v>
      </c>
    </row>
    <row r="70" customFormat="false" ht="15" hidden="false" customHeight="false" outlineLevel="0" collapsed="false">
      <c r="T70" s="0" t="s">
        <v>283</v>
      </c>
      <c r="U70" s="0" t="n">
        <f aca="false">IF($U$68="","",$U$65-IF($U$68&gt;=40,300,1020-18*($U$68+1)+1))</f>
        <v>11</v>
      </c>
    </row>
  </sheetData>
  <sheetProtection sheet="true" formatCells="false" formatColumns="false" formatRows="false"/>
  <mergeCells count="1">
    <mergeCell ref="M6:N6"/>
  </mergeCells>
  <conditionalFormatting sqref="E6:H24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9">
    <cfRule type="expression" priority="5" aboveAverage="0" equalAverage="0" bottom="0" percent="0" rank="0" text="" dxfId="3">
      <formula>AND(ISNUMBER(I6),I6&lt;5)</formula>
    </cfRule>
  </conditionalFormatting>
  <conditionalFormatting sqref="M19:M25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2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8 E9:I9 E11:H24 I26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1:D24" type="list">
      <formula1>"x"</formula1>
      <formula2>0</formula2>
    </dataValidation>
  </dataValidations>
  <hyperlinks>
    <hyperlink ref="B36" r:id="rId2" display="https://www.hamburg.de/resource/blob/133942/83622ebebbcb4b771d65dc3b1f1a3996/bsb-apo-ah-18-03-2009-data.pdf"/>
    <hyperlink ref="B38" r:id="rId3" display="Online-Rechner Hamburg mit Statistik und PDF-Download: https://www.abi-rechner.com/bundeslander/hamburg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Hamburg · abi-rechner.com · Stand September 2026</oddFooter>
  </headerFooter>
  <legacy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7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375</v>
      </c>
      <c r="T1" s="15" t="s">
        <v>72</v>
      </c>
      <c r="BZ1" s="15" t="s">
        <v>73</v>
      </c>
      <c r="CA1" s="15" t="s">
        <v>74</v>
      </c>
      <c r="CB1" s="15" t="s">
        <v>75</v>
      </c>
      <c r="CC1" s="15" t="s">
        <v>76</v>
      </c>
    </row>
    <row r="2" customFormat="false" ht="15" hidden="false" customHeight="false" outlineLevel="0" collapsed="false">
      <c r="B2" s="2" t="s">
        <v>376</v>
      </c>
      <c r="T2" s="15" t="s">
        <v>78</v>
      </c>
      <c r="U2" s="15" t="n">
        <f aca="false">IFERROR(AVERAGE($E$6:$H$25),7)</f>
        <v>7</v>
      </c>
      <c r="BZ2" s="15" t="n">
        <f aca="false">IFERROR(LARGE($AH$6:$AK$25,1),0)</f>
        <v>0</v>
      </c>
      <c r="CA2" s="15" t="n">
        <f aca="false">BZ2</f>
        <v>0</v>
      </c>
      <c r="CB2" s="15" t="n">
        <f aca="false">IFERROR(LARGE($AM$6:$AP$25,1),0)</f>
        <v>0</v>
      </c>
      <c r="CC2" s="15" t="n">
        <f aca="false">CB2</f>
        <v>0</v>
      </c>
      <c r="CE2" s="15" t="s">
        <v>79</v>
      </c>
      <c r="CF2" s="15" t="s">
        <v>80</v>
      </c>
      <c r="CG2" s="15" t="s">
        <v>81</v>
      </c>
      <c r="CH2" s="15" t="s">
        <v>82</v>
      </c>
      <c r="CI2" s="15" t="s">
        <v>83</v>
      </c>
      <c r="CJ2" s="15" t="s">
        <v>84</v>
      </c>
      <c r="CK2" s="15" t="s">
        <v>85</v>
      </c>
      <c r="CL2" s="15" t="s">
        <v>86</v>
      </c>
      <c r="CM2" s="15" t="s">
        <v>87</v>
      </c>
      <c r="CN2" s="15" t="s">
        <v>88</v>
      </c>
      <c r="CO2" s="15" t="s">
        <v>89</v>
      </c>
      <c r="CP2" s="15" t="s">
        <v>90</v>
      </c>
      <c r="CQ2" s="15" t="s">
        <v>91</v>
      </c>
      <c r="CR2" s="15" t="s">
        <v>92</v>
      </c>
      <c r="CS2" s="15" t="s">
        <v>93</v>
      </c>
      <c r="CT2" s="15" t="s">
        <v>94</v>
      </c>
      <c r="CU2" s="15" t="s">
        <v>95</v>
      </c>
      <c r="CV2" s="15" t="s">
        <v>96</v>
      </c>
      <c r="CW2" s="15" t="s">
        <v>97</v>
      </c>
      <c r="CX2" s="15" t="s">
        <v>98</v>
      </c>
      <c r="CY2" s="15" t="s">
        <v>99</v>
      </c>
      <c r="CZ2" s="15" t="s">
        <v>100</v>
      </c>
      <c r="DA2" s="15" t="s">
        <v>101</v>
      </c>
      <c r="DB2" s="15" t="s">
        <v>102</v>
      </c>
      <c r="DC2" s="15" t="s">
        <v>103</v>
      </c>
      <c r="DD2" s="15" t="s">
        <v>104</v>
      </c>
      <c r="DE2" s="15" t="s">
        <v>105</v>
      </c>
      <c r="DF2" s="15" t="s">
        <v>106</v>
      </c>
      <c r="DG2" s="15" t="s">
        <v>107</v>
      </c>
      <c r="DH2" s="15" t="s">
        <v>108</v>
      </c>
    </row>
    <row r="3" customFormat="false" ht="15" hidden="false" customHeight="false" outlineLevel="0" collapsed="false">
      <c r="B3" s="16" t="s">
        <v>109</v>
      </c>
      <c r="T3" s="15" t="s">
        <v>110</v>
      </c>
      <c r="U3" s="15" t="n">
        <f aca="false">IFERROR(AVERAGE($I$6:$I$10),$U$2)</f>
        <v>7</v>
      </c>
      <c r="BZ3" s="15" t="n">
        <f aca="false">IFERROR(LARGE($AH$6:$AK$25,2),0)</f>
        <v>0</v>
      </c>
      <c r="CA3" s="15" t="n">
        <f aca="false">CA2+BZ3</f>
        <v>0</v>
      </c>
      <c r="CB3" s="15" t="n">
        <f aca="false">IFERROR(LARGE($AM$6:$AP$25,2),0)</f>
        <v>0</v>
      </c>
      <c r="CC3" s="15" t="n">
        <f aca="false">CC2+CB3</f>
        <v>0</v>
      </c>
      <c r="CE3" s="15" t="n">
        <f aca="false">32</f>
        <v>32</v>
      </c>
      <c r="CF3" s="15" t="n">
        <f aca="false">CE3-$U$5-$U$6-0</f>
        <v>12</v>
      </c>
      <c r="CG3" s="15" t="n">
        <f aca="false">MAX(0,CF3)</f>
        <v>12</v>
      </c>
      <c r="CH3" s="15" t="n">
        <f aca="false">MIN(CG3,$U$7)</f>
        <v>0</v>
      </c>
      <c r="CI3" s="15" t="n">
        <f aca="false">CG3-CH3</f>
        <v>12</v>
      </c>
      <c r="CJ3" s="15" t="n">
        <f aca="false">0</f>
        <v>0</v>
      </c>
      <c r="CK3" s="15" t="n">
        <f aca="false">$U$5+CH3+CJ3</f>
        <v>0</v>
      </c>
      <c r="CL3" s="15" t="n">
        <f aca="false">2*AW6+2*AX6+2*AW7+2*AX7</f>
        <v>0</v>
      </c>
      <c r="CM3" s="15" t="n">
        <f aca="false">2*AY6+2*AZ6+2*AY7+2*AZ7+1*AY8+1*AZ8+1*AY9+1*AZ9+1*AY10+1*AZ10+SUM($AA$12:$AA$25)</f>
        <v>0</v>
      </c>
      <c r="CN3" s="15" t="n">
        <f aca="false">IF(CH3=0,0,INDEX($CA$2:$CA$57,CH3))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MIN(600,INT((CO3)+0.5+0.000000001))</f>
        <v>0</v>
      </c>
      <c r="CR3" s="15" t="n">
        <f aca="false">$U$9+CT3</f>
        <v>0</v>
      </c>
      <c r="CS3" s="15" t="n">
        <f aca="false">6</f>
        <v>6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IF($U$9&lt;=2,1,0)</f>
        <v>1</v>
      </c>
      <c r="CY3" s="15" t="n">
        <f aca="false">1</f>
        <v>1</v>
      </c>
      <c r="CZ3" s="15" t="n">
        <f aca="false">IF(CL3&gt;=80-0.000000001,1,0)</f>
        <v>0</v>
      </c>
      <c r="DA3" s="15" t="n">
        <f aca="false">IF(CU3&gt;=120-0.000000001,1,0)</f>
        <v>0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32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111</v>
      </c>
      <c r="U4" s="15" t="n">
        <f aca="false">IF(COUNT($E$6:$H$25,$I$6:$I$10)&gt;0,1,0)</f>
        <v>0</v>
      </c>
      <c r="BZ4" s="15" t="n">
        <f aca="false">IFERROR(LARGE($AH$6:$AK$25,3),0)</f>
        <v>0</v>
      </c>
      <c r="CA4" s="15" t="n">
        <f aca="false">CA3+BZ4</f>
        <v>0</v>
      </c>
      <c r="CB4" s="15" t="n">
        <f aca="false">IFERROR(LARGE($AM$6:$AP$25,3),0)</f>
        <v>0</v>
      </c>
      <c r="CC4" s="15" t="n">
        <f aca="false">CC3+CB4</f>
        <v>0</v>
      </c>
    </row>
    <row r="5" customFormat="false" ht="30" hidden="false" customHeight="true" outlineLevel="0" collapsed="false">
      <c r="B5" s="17" t="s">
        <v>9</v>
      </c>
      <c r="C5" s="17" t="s">
        <v>112</v>
      </c>
      <c r="D5" s="18"/>
      <c r="E5" s="18" t="s">
        <v>113</v>
      </c>
      <c r="F5" s="18" t="s">
        <v>114</v>
      </c>
      <c r="G5" s="18" t="s">
        <v>115</v>
      </c>
      <c r="H5" s="18" t="s">
        <v>116</v>
      </c>
      <c r="I5" s="18" t="s">
        <v>11</v>
      </c>
      <c r="J5" s="18" t="s">
        <v>117</v>
      </c>
      <c r="L5" s="19" t="s">
        <v>118</v>
      </c>
      <c r="M5" s="20"/>
      <c r="N5" s="20"/>
      <c r="T5" s="15" t="s">
        <v>119</v>
      </c>
      <c r="U5" s="15" t="n">
        <f aca="false">AY6+AY7+AY8+AY9+AY10+AZ6+AZ7+AZ8+AZ9+AZ10+SUM($AA$12:$AA$25)</f>
        <v>0</v>
      </c>
      <c r="V5" s="15" t="n">
        <f aca="false">BG6+BG7+BG8+BG9+BG10+BH6+BH7+BH8+BH9+BH10+SUM($AE$12:$AE$25)</f>
        <v>20</v>
      </c>
      <c r="AH5" s="15" t="s">
        <v>120</v>
      </c>
      <c r="AM5" s="15" t="s">
        <v>121</v>
      </c>
      <c r="AR5" s="15" t="s">
        <v>122</v>
      </c>
      <c r="AW5" s="15" t="s">
        <v>123</v>
      </c>
      <c r="AX5" s="15" t="s">
        <v>124</v>
      </c>
      <c r="AY5" s="15" t="s">
        <v>125</v>
      </c>
      <c r="AZ5" s="15" t="s">
        <v>126</v>
      </c>
      <c r="BA5" s="15" t="s">
        <v>127</v>
      </c>
      <c r="BB5" s="15" t="s">
        <v>128</v>
      </c>
      <c r="BC5" s="15" t="s">
        <v>129</v>
      </c>
      <c r="BD5" s="15" t="s">
        <v>130</v>
      </c>
      <c r="BE5" s="15" t="s">
        <v>131</v>
      </c>
      <c r="BF5" s="15" t="s">
        <v>132</v>
      </c>
      <c r="BG5" s="15" t="s">
        <v>133</v>
      </c>
      <c r="BH5" s="15" t="s">
        <v>134</v>
      </c>
      <c r="BI5" s="15" t="s">
        <v>135</v>
      </c>
      <c r="BJ5" s="15" t="s">
        <v>136</v>
      </c>
      <c r="BK5" s="15" t="s">
        <v>137</v>
      </c>
      <c r="BL5" s="15" t="s">
        <v>138</v>
      </c>
      <c r="BN5" s="15" t="s">
        <v>139</v>
      </c>
      <c r="BO5" s="15" t="s">
        <v>140</v>
      </c>
      <c r="BP5" s="15" t="s">
        <v>141</v>
      </c>
      <c r="BQ5" s="15" t="s">
        <v>128</v>
      </c>
      <c r="BR5" s="15" t="s">
        <v>142</v>
      </c>
      <c r="BT5" s="15" t="s">
        <v>143</v>
      </c>
      <c r="BU5" s="15" t="s">
        <v>144</v>
      </c>
      <c r="BV5" s="15" t="s">
        <v>145</v>
      </c>
      <c r="BW5" s="15" t="s">
        <v>136</v>
      </c>
      <c r="BX5" s="15" t="s">
        <v>146</v>
      </c>
      <c r="BZ5" s="15" t="n">
        <f aca="false">IFERROR(LARGE($AH$6:$AK$25,4),0)</f>
        <v>0</v>
      </c>
      <c r="CA5" s="15" t="n">
        <f aca="false">CA4+BZ5</f>
        <v>0</v>
      </c>
      <c r="CB5" s="15" t="n">
        <f aca="false">IFERROR(LARGE($AM$6:$AP$25,4),0)</f>
        <v>0</v>
      </c>
      <c r="CC5" s="15" t="n">
        <f aca="false">CC4+CB5</f>
        <v>0</v>
      </c>
    </row>
    <row r="6" customFormat="false" ht="39.75" hidden="false" customHeight="true" outlineLevel="0" collapsed="false">
      <c r="B6" s="21" t="s">
        <v>315</v>
      </c>
      <c r="C6" s="22"/>
      <c r="D6" s="23" t="s">
        <v>148</v>
      </c>
      <c r="E6" s="24"/>
      <c r="F6" s="24"/>
      <c r="G6" s="24"/>
      <c r="H6" s="24"/>
      <c r="I6" s="25"/>
      <c r="J6" s="24"/>
      <c r="L6" s="26" t="s">
        <v>149</v>
      </c>
      <c r="M6" s="27" t="str">
        <f aca="false">IF($U$4=0,"Noch keine Eingaben – trag deine Punkte in die gelben Felder ein.",IF($U$37=1,"Endergebnis (alle Felder ausgefüllt)","Prognose: "&amp;$U$36&amp;" Felder offen, gefüllt mit deinem Schnitt von "&amp;FIXED($U$2,1)&amp;" Punkten"))</f>
        <v>Noch keine Eingaben – trag deine Punkte in die gelben Felder ein.</v>
      </c>
      <c r="N6" s="27"/>
      <c r="T6" s="15" t="s">
        <v>150</v>
      </c>
      <c r="U6" s="15" t="n">
        <f aca="false">BC6+BC7+BC8+BC9+BC10</f>
        <v>20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IF(BN6="","",IF(ISNUMBER($J$6),INT(((2*BN6+$J$6)/3*$U$15)+0.5+0.000000001),BN6*$U$15))</f>
        <v/>
      </c>
      <c r="BP6" s="15" t="n">
        <f aca="false">IF(BO6="",0,IF(BO6&gt;=5*$U$15-0.000000001,1,0))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IF(BT6="","",IF(ISNUMBER($J$6),INT(((2*BT6+$J$6)/3*$U$15)+0.5+0.000000001),BT6*$U$15))</f>
        <v>28</v>
      </c>
      <c r="BV6" s="15" t="n">
        <f aca="false">IF(BU6="",0,IF(BU6&gt;=5*$U$15-0.000000001,1,0))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IFERROR(LARGE($AH$6:$AK$25,5),0)</f>
        <v>0</v>
      </c>
      <c r="CA6" s="15" t="n">
        <f aca="false">CA5+BZ6</f>
        <v>0</v>
      </c>
      <c r="CB6" s="15" t="n">
        <f aca="false">IFERROR(LARGE($AM$6:$AP$25,5),0)</f>
        <v>0</v>
      </c>
      <c r="CC6" s="15" t="n">
        <f aca="false">CC5+CB6</f>
        <v>0</v>
      </c>
    </row>
    <row r="7" customFormat="false" ht="37.5" hidden="false" customHeight="true" outlineLevel="0" collapsed="false">
      <c r="B7" s="21" t="s">
        <v>316</v>
      </c>
      <c r="C7" s="22"/>
      <c r="D7" s="23" t="s">
        <v>148</v>
      </c>
      <c r="E7" s="24"/>
      <c r="F7" s="24"/>
      <c r="G7" s="24"/>
      <c r="H7" s="24"/>
      <c r="I7" s="25"/>
      <c r="J7" s="24"/>
      <c r="L7" s="26" t="s">
        <v>152</v>
      </c>
      <c r="M7" s="28" t="str">
        <f aca="false">IF($U$4=0,"",$U$38)</f>
        <v/>
      </c>
      <c r="N7" s="29" t="s">
        <v>153</v>
      </c>
      <c r="T7" s="15" t="s">
        <v>154</v>
      </c>
      <c r="U7" s="15" t="n">
        <f aca="false">COUNT($AH$6:$AK$25)</f>
        <v>0</v>
      </c>
      <c r="V7" s="15" t="n">
        <f aca="false">COUNT($AM$6:$AP$25)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IF(BN7="","",IF(ISNUMBER($J$7),INT(((2*BN7+$J$7)/3*$U$15)+0.5+0.000000001),BN7*$U$15))</f>
        <v/>
      </c>
      <c r="BP7" s="15" t="n">
        <f aca="false">IF(BO7="",0,IF(BO7&gt;=5*$U$15-0.000000001,1,0))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IF(BT7="","",IF(ISNUMBER($J$7),INT(((2*BT7+$J$7)/3*$U$15)+0.5+0.000000001),BT7*$U$15))</f>
        <v>28</v>
      </c>
      <c r="BV7" s="15" t="n">
        <f aca="false">IF(BU7="",0,IF(BU7&gt;=5*$U$15-0.000000001,1,0))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IFERROR(LARGE($AH$6:$AK$25,6),0)</f>
        <v>0</v>
      </c>
      <c r="CA7" s="15" t="n">
        <f aca="false">CA6+BZ7</f>
        <v>0</v>
      </c>
      <c r="CB7" s="15" t="n">
        <f aca="false">IFERROR(LARGE($AM$6:$AP$25,6),0)</f>
        <v>0</v>
      </c>
      <c r="CC7" s="15" t="n">
        <f aca="false">CC6+CB7</f>
        <v>0</v>
      </c>
    </row>
    <row r="8" customFormat="false" ht="37.5" hidden="false" customHeight="true" outlineLevel="0" collapsed="false">
      <c r="B8" s="21" t="s">
        <v>317</v>
      </c>
      <c r="C8" s="22"/>
      <c r="D8" s="23" t="s">
        <v>148</v>
      </c>
      <c r="E8" s="24"/>
      <c r="F8" s="24"/>
      <c r="G8" s="24"/>
      <c r="H8" s="24"/>
      <c r="I8" s="25"/>
      <c r="J8" s="24"/>
      <c r="L8" s="26" t="s">
        <v>156</v>
      </c>
      <c r="M8" s="28" t="str">
        <f aca="false">IF($U$4=0,"",$U$61)</f>
        <v/>
      </c>
      <c r="N8" s="29" t="s">
        <v>157</v>
      </c>
      <c r="T8" s="15" t="s">
        <v>158</v>
      </c>
      <c r="U8" s="15" t="n">
        <f aca="false">COUNTIF($AH$6:$AK$25,"&gt;=5")</f>
        <v>0</v>
      </c>
      <c r="V8" s="15" t="n">
        <f aca="false">COUNTIF($AM$6:$AP$25,"&gt;=5")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IF(BN8="","",IF(ISNUMBER($J$8),INT(((2*BN8+$J$8)/3*$U$15)+0.5+0.000000001),BN8*$U$15))</f>
        <v/>
      </c>
      <c r="BP8" s="15" t="n">
        <f aca="false">IF(BO8="",0,IF(BO8&gt;=5*$U$15-0.000000001,1,0))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IF(BT8="","",IF(ISNUMBER($J$8),INT(((2*BT8+$J$8)/3*$U$15)+0.5+0.000000001),BT8*$U$15))</f>
        <v>28</v>
      </c>
      <c r="BV8" s="15" t="n">
        <f aca="false">IF(BU8="",0,IF(BU8&gt;=5*$U$15-0.000000001,1,0))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IFERROR(LARGE($AH$6:$AK$25,7),0)</f>
        <v>0</v>
      </c>
      <c r="CA8" s="15" t="n">
        <f aca="false">CA7+BZ8</f>
        <v>0</v>
      </c>
      <c r="CB8" s="15" t="n">
        <f aca="false">IFERROR(LARGE($AM$6:$AP$25,7),0)</f>
        <v>0</v>
      </c>
      <c r="CC8" s="15" t="n">
        <f aca="false">CC7+CB8</f>
        <v>0</v>
      </c>
    </row>
    <row r="9" customFormat="false" ht="37.5" hidden="false" customHeight="true" outlineLevel="0" collapsed="false">
      <c r="B9" s="21" t="s">
        <v>318</v>
      </c>
      <c r="C9" s="22"/>
      <c r="D9" s="23" t="s">
        <v>148</v>
      </c>
      <c r="E9" s="24"/>
      <c r="F9" s="24"/>
      <c r="G9" s="24"/>
      <c r="H9" s="24"/>
      <c r="I9" s="25"/>
      <c r="J9" s="30" t="s">
        <v>160</v>
      </c>
      <c r="L9" s="31" t="s">
        <v>161</v>
      </c>
      <c r="M9" s="32" t="str">
        <f aca="false">IF($U$4=0,"",$U$67)</f>
        <v/>
      </c>
      <c r="N9" s="29" t="s">
        <v>162</v>
      </c>
      <c r="T9" s="15" t="s">
        <v>163</v>
      </c>
      <c r="U9" s="15" t="n">
        <f aca="false">BA6+BA7</f>
        <v>0</v>
      </c>
      <c r="V9" s="15" t="n">
        <f aca="false">BI6+BI7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IF(BN9="","",BN9*$U$15)</f>
        <v/>
      </c>
      <c r="BP9" s="15" t="n">
        <f aca="false">IF(BO9="",0,IF(BO9&gt;=5*$U$15-0.000000001,1,0))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IF(BT9="","",BT9*$U$15)</f>
        <v>28</v>
      </c>
      <c r="BV9" s="15" t="n">
        <f aca="false">IF(BU9="",0,IF(BU9&gt;=5*$U$15-0.000000001,1,0))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IFERROR(LARGE($AH$6:$AK$25,8),0)</f>
        <v>0</v>
      </c>
      <c r="CA9" s="15" t="n">
        <f aca="false">CA8+BZ9</f>
        <v>0</v>
      </c>
      <c r="CB9" s="15" t="n">
        <f aca="false">IFERROR(LARGE($AM$6:$AP$25,8),0)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21" t="s">
        <v>377</v>
      </c>
      <c r="C10" s="22"/>
      <c r="D10" s="23" t="s">
        <v>148</v>
      </c>
      <c r="E10" s="24"/>
      <c r="F10" s="24"/>
      <c r="G10" s="24"/>
      <c r="H10" s="24"/>
      <c r="I10" s="25"/>
      <c r="J10" s="30" t="s">
        <v>160</v>
      </c>
      <c r="L10" s="31" t="s">
        <v>165</v>
      </c>
      <c r="M10" s="33" t="str">
        <f aca="false">IF($U$4=0,"",IF($U$69=1,$U$70/10,"nicht bestanden"))</f>
        <v/>
      </c>
      <c r="N10" s="29"/>
      <c r="T10" s="15" t="s">
        <v>166</v>
      </c>
      <c r="U10" s="15" t="n">
        <f aca="false">BA8+BA9+BA10+SUM($AB$12:$AB$25)</f>
        <v>0</v>
      </c>
      <c r="V10" s="15" t="n">
        <f aca="false">BI8+BI9+BI10+SUM($AF$12:$AF$25)</f>
        <v>0</v>
      </c>
      <c r="AR10" s="15" t="n">
        <f aca="false">IF(ISNUMBER(E10),1,0)</f>
        <v>0</v>
      </c>
      <c r="AS10" s="15" t="n">
        <f aca="false">IF(ISNUMBER(F10),1,0)</f>
        <v>0</v>
      </c>
      <c r="AT10" s="15" t="n">
        <f aca="false">IF(ISNUMBER(G10),1,0)</f>
        <v>0</v>
      </c>
      <c r="AU10" s="15" t="n">
        <f aca="false">IF(ISNUMBER(H10),1,0)</f>
        <v>0</v>
      </c>
      <c r="AW10" s="15" t="n">
        <f aca="false">SUM(E10:G10)</f>
        <v>0</v>
      </c>
      <c r="AX10" s="15" t="n">
        <f aca="false">SUM(H10:H10)</f>
        <v>0</v>
      </c>
      <c r="AY10" s="15" t="n">
        <f aca="false">COUNT(E10:G10)</f>
        <v>0</v>
      </c>
      <c r="AZ10" s="15" t="n">
        <f aca="false">COUNT(H10:H10)</f>
        <v>0</v>
      </c>
      <c r="BA10" s="15" t="n">
        <f aca="false">COUNTIF(E10:H10,"&lt;5")</f>
        <v>0</v>
      </c>
      <c r="BB10" s="15" t="n">
        <f aca="false">COUNTIF(E10:H10,0)</f>
        <v>0</v>
      </c>
      <c r="BC10" s="15" t="n">
        <f aca="false">4-COUNT(E10:H10)</f>
        <v>4</v>
      </c>
      <c r="BD10" s="15" t="n">
        <f aca="false">SUM(E10:H10)</f>
        <v>0</v>
      </c>
      <c r="BE10" s="15" t="n">
        <f aca="false">SUM(E10:G10)+$U$2*(3-COUNT(E10:G10))</f>
        <v>21</v>
      </c>
      <c r="BF10" s="15" t="n">
        <f aca="false">SUM(H10:H10)+$U$2*(1-COUNT(H10:H10))</f>
        <v>7</v>
      </c>
      <c r="BG10" s="15" t="n">
        <f aca="false">3</f>
        <v>3</v>
      </c>
      <c r="BH10" s="15" t="n">
        <f aca="false">1</f>
        <v>1</v>
      </c>
      <c r="BI10" s="15" t="n">
        <f aca="false">COUNTIF(E10:H10,"&lt;5")+IF($U$2&lt;5,1,0)*(4-COUNT(E10:H10))</f>
        <v>0</v>
      </c>
      <c r="BJ10" s="15" t="n">
        <f aca="false">COUNTIF(E10:H10,0)</f>
        <v>0</v>
      </c>
      <c r="BK10" s="15" t="n">
        <f aca="false">0</f>
        <v>0</v>
      </c>
      <c r="BL10" s="15" t="n">
        <f aca="false">SUM(E10:H10)+$U$2*(4-COUNT(E10:H10))</f>
        <v>28</v>
      </c>
      <c r="BN10" s="15" t="str">
        <f aca="false">IF(ISNUMBER($I$10),$I$10,"")</f>
        <v/>
      </c>
      <c r="BO10" s="15" t="str">
        <f aca="false">IF(BN10="","",BN10*$U$15)</f>
        <v/>
      </c>
      <c r="BP10" s="15" t="n">
        <f aca="false">IF(BO10="",0,IF(BO10&gt;=5*$U$15-0.000000001,1,0))</f>
        <v>0</v>
      </c>
      <c r="BQ10" s="15" t="n">
        <f aca="false">IF(BO10="",0,IF(BO10&lt;0.000000001,1,0))</f>
        <v>0</v>
      </c>
      <c r="BR10" s="15" t="n">
        <f aca="false">0</f>
        <v>0</v>
      </c>
      <c r="BT10" s="15" t="n">
        <f aca="false">IF(ISNUMBER($I$10),$I$10,$U$3)</f>
        <v>7</v>
      </c>
      <c r="BU10" s="15" t="n">
        <f aca="false">IF(BT10="","",BT10*$U$15)</f>
        <v>28</v>
      </c>
      <c r="BV10" s="15" t="n">
        <f aca="false">IF(BU10="",0,IF(BU10&gt;=5*$U$15-0.000000001,1,0))</f>
        <v>1</v>
      </c>
      <c r="BW10" s="15" t="n">
        <f aca="false">IF(BU10="",0,IF(BU10&lt;0.000000001,1,0))</f>
        <v>0</v>
      </c>
      <c r="BX10" s="15" t="n">
        <f aca="false">0</f>
        <v>0</v>
      </c>
      <c r="BZ10" s="15" t="n">
        <f aca="false">IFERROR(LARGE($AH$6:$AK$25,9),0)</f>
        <v>0</v>
      </c>
      <c r="CA10" s="15" t="n">
        <f aca="false">CA9+BZ10</f>
        <v>0</v>
      </c>
      <c r="CB10" s="15" t="n">
        <f aca="false">IFERROR(LARGE($AM$6:$AP$25,9),0)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6" t="s">
        <v>167</v>
      </c>
      <c r="C11" s="6" t="s">
        <v>112</v>
      </c>
      <c r="D11" s="34" t="s">
        <v>168</v>
      </c>
      <c r="E11" s="35" t="s">
        <v>113</v>
      </c>
      <c r="F11" s="35" t="s">
        <v>114</v>
      </c>
      <c r="G11" s="35" t="s">
        <v>115</v>
      </c>
      <c r="H11" s="35" t="s">
        <v>116</v>
      </c>
      <c r="I11" s="20"/>
      <c r="J11" s="20"/>
      <c r="L11" s="26" t="s">
        <v>169</v>
      </c>
      <c r="M11" s="28" t="str">
        <f aca="false">IF($U$4=0,"",IF($U$71="","–",$U$71))</f>
        <v/>
      </c>
      <c r="N11" s="29" t="str">
        <f aca="false">IF($U$4=0,"",IF($U$70="","Punkte bis 300",IF($U$71="","Bestnote erreicht","Punkte → "&amp;FIXED(($U$70-1)/10,1))))</f>
        <v/>
      </c>
      <c r="T11" s="15" t="s">
        <v>170</v>
      </c>
      <c r="U11" s="15" t="n">
        <f aca="false">AW8+AW9+AW10+AX8+AX9+AX10+SUM($Z$12:$Z$25)</f>
        <v>0</v>
      </c>
      <c r="V11" s="15" t="n">
        <f aca="false">BE8+BE9+BE10+BF8+BF9+BF10+SUM($AD$12:$AD$25)</f>
        <v>84</v>
      </c>
      <c r="X11" s="15" t="s">
        <v>171</v>
      </c>
      <c r="Y11" s="15" t="s">
        <v>172</v>
      </c>
      <c r="Z11" s="15" t="s">
        <v>173</v>
      </c>
      <c r="AA11" s="15" t="s">
        <v>174</v>
      </c>
      <c r="AB11" s="15" t="s">
        <v>127</v>
      </c>
      <c r="AC11" s="15" t="s">
        <v>128</v>
      </c>
      <c r="AD11" s="15" t="s">
        <v>175</v>
      </c>
      <c r="AE11" s="15" t="s">
        <v>176</v>
      </c>
      <c r="AF11" s="15" t="s">
        <v>135</v>
      </c>
      <c r="BZ11" s="15" t="n">
        <f aca="false">IFERROR(LARGE($AH$6:$AK$25,10),0)</f>
        <v>0</v>
      </c>
      <c r="CA11" s="15" t="n">
        <f aca="false">CA10+BZ11</f>
        <v>0</v>
      </c>
      <c r="CB11" s="15" t="n">
        <f aca="false">IFERROR(LARGE($AM$6:$AP$25,10),0)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6" t="s">
        <v>177</v>
      </c>
      <c r="C12" s="37"/>
      <c r="D12" s="38"/>
      <c r="E12" s="24"/>
      <c r="F12" s="24"/>
      <c r="G12" s="24"/>
      <c r="H12" s="24"/>
      <c r="I12" s="39"/>
      <c r="J12" s="39"/>
      <c r="L12" s="26" t="s">
        <v>178</v>
      </c>
      <c r="M12" s="28" t="str">
        <f aca="false">IF(OR($U$4=0,$U$72=""),"",$U$72)</f>
        <v/>
      </c>
      <c r="N12" s="29" t="str">
        <f aca="false">IF(OR($U$4=0,$U$72=""),"","Punkte Luft")</f>
        <v/>
      </c>
      <c r="T12" s="15" t="s">
        <v>179</v>
      </c>
      <c r="U12" s="15" t="n">
        <f aca="false">BB6+BB7+BB8+BB9+BB10+SUM($AC$12:$AC$25)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IF(Y12=1,IF(ISNUMBER(E12),1,0),IF(AH12="",0,IF(IF($U$37=1,COUNTIF($AH$6:$AK$25,"&gt;"&amp;AH12),COUNTIF($AM$6:$AP$25,"&gt;"&amp;AH12))+COUNTIF($AH$6:$AK$11,AH12)+1&lt;=$U$47,1,0)))</f>
        <v>0</v>
      </c>
      <c r="AS12" s="15" t="n">
        <f aca="false">IF(Y12=1,IF(ISNUMBER(F12),1,0),IF(AI12="",0,IF(IF($U$37=1,COUNTIF($AH$6:$AK$25,"&gt;"&amp;AI12),COUNTIF($AM$6:$AP$25,"&gt;"&amp;AI12))+COUNTIF($AH$6:$AK$11,AI12)+COUNTIF($AH12:AH12,AI12)+1&lt;=$U$47,1,0)))</f>
        <v>0</v>
      </c>
      <c r="AT12" s="15" t="n">
        <f aca="false">IF(Y12=1,IF(ISNUMBER(G12),1,0),IF(AJ12="",0,IF(IF($U$37=1,COUNTIF($AH$6:$AK$25,"&gt;"&amp;AJ12),COUNTIF($AM$6:$AP$25,"&gt;"&amp;AJ12))+COUNTIF($AH$6:$AK$11,AJ12)+COUNTIF($AH12:AI12,AJ12)+1&lt;=$U$47,1,0)))</f>
        <v>0</v>
      </c>
      <c r="AU12" s="15" t="n">
        <f aca="false">IF(Y12=1,IF(ISNUMBER(H12),1,0),IF(AK12="",0,IF(IF($U$37=1,COUNTIF($AH$6:$AK$25,"&gt;"&amp;AK12),COUNTIF($AM$6:$AP$25,"&gt;"&amp;AK12))+COUNTIF($AH$6:$AK$11,AK12)+COUNTIF($AH12:AJ12,AK12)+1&lt;=$U$47,1,0)))</f>
        <v>0</v>
      </c>
      <c r="BZ12" s="15" t="n">
        <f aca="false">IFERROR(LARGE($AH$6:$AK$25,11),0)</f>
        <v>0</v>
      </c>
      <c r="CA12" s="15" t="n">
        <f aca="false">CA11+BZ12</f>
        <v>0</v>
      </c>
      <c r="CB12" s="15" t="n">
        <f aca="false">IFERROR(LARGE($AM$6:$AP$25,11),0)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180</v>
      </c>
      <c r="C13" s="37"/>
      <c r="D13" s="38"/>
      <c r="E13" s="24"/>
      <c r="F13" s="24"/>
      <c r="G13" s="24"/>
      <c r="H13" s="24"/>
      <c r="I13" s="39"/>
      <c r="J13" s="39"/>
      <c r="L13" s="26" t="s">
        <v>181</v>
      </c>
      <c r="M13" s="28" t="str">
        <f aca="false">IF($U$4=0,"",$U$39)</f>
        <v/>
      </c>
      <c r="N13" s="29" t="str">
        <f aca="false">IF($U$4=0,"","Summe der eingebrachten Punkte")</f>
        <v/>
      </c>
      <c r="T13" s="15" t="s">
        <v>182</v>
      </c>
      <c r="U13" s="15" t="n">
        <f aca="false">MATCH(MAX($DH$3:$DH$3),$DH$3:$DH$3,0)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IF(Y13=1,IF(ISNUMBER(E13),1,0),IF(AH13="",0,IF(IF($U$37=1,COUNTIF($AH$6:$AK$25,"&gt;"&amp;AH13),COUNTIF($AM$6:$AP$25,"&gt;"&amp;AH13))+COUNTIF($AH$6:$AK$12,AH13)+1&lt;=$U$47,1,0)))</f>
        <v>0</v>
      </c>
      <c r="AS13" s="15" t="n">
        <f aca="false">IF(Y13=1,IF(ISNUMBER(F13),1,0),IF(AI13="",0,IF(IF($U$37=1,COUNTIF($AH$6:$AK$25,"&gt;"&amp;AI13),COUNTIF($AM$6:$AP$25,"&gt;"&amp;AI13))+COUNTIF($AH$6:$AK$12,AI13)+COUNTIF($AH13:AH13,AI13)+1&lt;=$U$47,1,0)))</f>
        <v>0</v>
      </c>
      <c r="AT13" s="15" t="n">
        <f aca="false">IF(Y13=1,IF(ISNUMBER(G13),1,0),IF(AJ13="",0,IF(IF($U$37=1,COUNTIF($AH$6:$AK$25,"&gt;"&amp;AJ13),COUNTIF($AM$6:$AP$25,"&gt;"&amp;AJ13))+COUNTIF($AH$6:$AK$12,AJ13)+COUNTIF($AH13:AI13,AJ13)+1&lt;=$U$47,1,0)))</f>
        <v>0</v>
      </c>
      <c r="AU13" s="15" t="n">
        <f aca="false">IF(Y13=1,IF(ISNUMBER(H13),1,0),IF(AK13="",0,IF(IF($U$37=1,COUNTIF($AH$6:$AK$25,"&gt;"&amp;AK13),COUNTIF($AM$6:$AP$25,"&gt;"&amp;AK13))+COUNTIF($AH$6:$AK$12,AK13)+COUNTIF($AH13:AJ13,AK13)+1&lt;=$U$47,1,0)))</f>
        <v>0</v>
      </c>
      <c r="BZ13" s="15" t="n">
        <f aca="false">IFERROR(LARGE($AH$6:$AK$25,12),0)</f>
        <v>0</v>
      </c>
      <c r="CA13" s="15" t="n">
        <f aca="false">CA12+BZ13</f>
        <v>0</v>
      </c>
      <c r="CB13" s="15" t="n">
        <f aca="false">IFERROR(LARGE($AM$6:$AP$25,12),0)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183</v>
      </c>
      <c r="C14" s="37"/>
      <c r="D14" s="38"/>
      <c r="E14" s="24"/>
      <c r="F14" s="24"/>
      <c r="G14" s="24"/>
      <c r="H14" s="24"/>
      <c r="I14" s="39"/>
      <c r="J14" s="39"/>
      <c r="L14" s="26" t="s">
        <v>184</v>
      </c>
      <c r="M14" s="28" t="str">
        <f aca="false">IF($U$4=0,"",$U$40)</f>
        <v/>
      </c>
      <c r="N14" s="29" t="str">
        <f aca="false">IF($U$4=0,"","erlaubt: höchstens "&amp;$U$41)</f>
        <v/>
      </c>
      <c r="T14" s="15" t="s">
        <v>185</v>
      </c>
      <c r="U14" s="15" t="n">
        <f aca="false">MATCH(MAX($DH$23:$DH$23),$DH$23:$DH$23,0)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IF(Y14=1,IF(ISNUMBER(E14),1,0),IF(AH14="",0,IF(IF($U$37=1,COUNTIF($AH$6:$AK$25,"&gt;"&amp;AH14),COUNTIF($AM$6:$AP$25,"&gt;"&amp;AH14))+COUNTIF($AH$6:$AK$13,AH14)+1&lt;=$U$47,1,0)))</f>
        <v>0</v>
      </c>
      <c r="AS14" s="15" t="n">
        <f aca="false">IF(Y14=1,IF(ISNUMBER(F14),1,0),IF(AI14="",0,IF(IF($U$37=1,COUNTIF($AH$6:$AK$25,"&gt;"&amp;AI14),COUNTIF($AM$6:$AP$25,"&gt;"&amp;AI14))+COUNTIF($AH$6:$AK$13,AI14)+COUNTIF($AH14:AH14,AI14)+1&lt;=$U$47,1,0)))</f>
        <v>0</v>
      </c>
      <c r="AT14" s="15" t="n">
        <f aca="false">IF(Y14=1,IF(ISNUMBER(G14),1,0),IF(AJ14="",0,IF(IF($U$37=1,COUNTIF($AH$6:$AK$25,"&gt;"&amp;AJ14),COUNTIF($AM$6:$AP$25,"&gt;"&amp;AJ14))+COUNTIF($AH$6:$AK$13,AJ14)+COUNTIF($AH14:AI14,AJ14)+1&lt;=$U$47,1,0)))</f>
        <v>0</v>
      </c>
      <c r="AU14" s="15" t="n">
        <f aca="false">IF(Y14=1,IF(ISNUMBER(H14),1,0),IF(AK14="",0,IF(IF($U$37=1,COUNTIF($AH$6:$AK$25,"&gt;"&amp;AK14),COUNTIF($AM$6:$AP$25,"&gt;"&amp;AK14))+COUNTIF($AH$6:$AK$13,AK14)+COUNTIF($AH14:AJ14,AK14)+1&lt;=$U$47,1,0)))</f>
        <v>0</v>
      </c>
      <c r="BZ14" s="15" t="n">
        <f aca="false">IFERROR(LARGE($AH$6:$AK$25,13),0)</f>
        <v>0</v>
      </c>
      <c r="CA14" s="15" t="n">
        <f aca="false">CA13+BZ14</f>
        <v>0</v>
      </c>
      <c r="CB14" s="15" t="n">
        <f aca="false">IFERROR(LARGE($AM$6:$AP$25,13),0)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186</v>
      </c>
      <c r="C15" s="37"/>
      <c r="D15" s="38"/>
      <c r="E15" s="24"/>
      <c r="F15" s="24"/>
      <c r="G15" s="24"/>
      <c r="H15" s="24"/>
      <c r="I15" s="39"/>
      <c r="J15" s="39"/>
      <c r="L15" s="26" t="s">
        <v>187</v>
      </c>
      <c r="M15" s="28" t="str">
        <f aca="false">IF($U$4=0,"","+"&amp;$U$15)</f>
        <v/>
      </c>
      <c r="N15" s="29" t="s">
        <v>188</v>
      </c>
      <c r="T15" s="15" t="s">
        <v>189</v>
      </c>
      <c r="U15" s="15" t="n">
        <f aca="false">4</f>
        <v>4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IF(Y15=1,IF(ISNUMBER(E15),1,0),IF(AH15="",0,IF(IF($U$37=1,COUNTIF($AH$6:$AK$25,"&gt;"&amp;AH15),COUNTIF($AM$6:$AP$25,"&gt;"&amp;AH15))+COUNTIF($AH$6:$AK$14,AH15)+1&lt;=$U$47,1,0)))</f>
        <v>0</v>
      </c>
      <c r="AS15" s="15" t="n">
        <f aca="false">IF(Y15=1,IF(ISNUMBER(F15),1,0),IF(AI15="",0,IF(IF($U$37=1,COUNTIF($AH$6:$AK$25,"&gt;"&amp;AI15),COUNTIF($AM$6:$AP$25,"&gt;"&amp;AI15))+COUNTIF($AH$6:$AK$14,AI15)+COUNTIF($AH15:AH15,AI15)+1&lt;=$U$47,1,0)))</f>
        <v>0</v>
      </c>
      <c r="AT15" s="15" t="n">
        <f aca="false">IF(Y15=1,IF(ISNUMBER(G15),1,0),IF(AJ15="",0,IF(IF($U$37=1,COUNTIF($AH$6:$AK$25,"&gt;"&amp;AJ15),COUNTIF($AM$6:$AP$25,"&gt;"&amp;AJ15))+COUNTIF($AH$6:$AK$14,AJ15)+COUNTIF($AH15:AI15,AJ15)+1&lt;=$U$47,1,0)))</f>
        <v>0</v>
      </c>
      <c r="AU15" s="15" t="n">
        <f aca="false">IF(Y15=1,IF(ISNUMBER(H15),1,0),IF(AK15="",0,IF(IF($U$37=1,COUNTIF($AH$6:$AK$25,"&gt;"&amp;AK15),COUNTIF($AM$6:$AP$25,"&gt;"&amp;AK15))+COUNTIF($AH$6:$AK$14,AK15)+COUNTIF($AH15:AJ15,AK15)+1&lt;=$U$47,1,0)))</f>
        <v>0</v>
      </c>
      <c r="BZ15" s="15" t="n">
        <f aca="false">IFERROR(LARGE($AH$6:$AK$25,14),0)</f>
        <v>0</v>
      </c>
      <c r="CA15" s="15" t="n">
        <f aca="false">CA14+BZ15</f>
        <v>0</v>
      </c>
      <c r="CB15" s="15" t="n">
        <f aca="false">IFERROR(LARGE($AM$6:$AP$25,14),0)</f>
        <v>0</v>
      </c>
      <c r="CC15" s="15" t="n">
        <f aca="false">CC14+CB15</f>
        <v>0</v>
      </c>
    </row>
    <row r="16" customFormat="false" ht="22.35" hidden="false" customHeight="false" outlineLevel="0" collapsed="false">
      <c r="B16" s="36" t="s">
        <v>190</v>
      </c>
      <c r="C16" s="37"/>
      <c r="D16" s="38"/>
      <c r="E16" s="24"/>
      <c r="F16" s="24"/>
      <c r="G16" s="24"/>
      <c r="H16" s="24"/>
      <c r="I16" s="39"/>
      <c r="J16" s="39"/>
      <c r="L16" s="26" t="s">
        <v>191</v>
      </c>
      <c r="M16" s="28" t="str">
        <f aca="false">IF($U$4=0,"","+1")</f>
        <v/>
      </c>
      <c r="N16" s="29" t="s">
        <v>294</v>
      </c>
      <c r="T16" s="15" t="s">
        <v>193</v>
      </c>
      <c r="U16" s="15" t="n">
        <f aca="false">MIN(300,INT((SUM(BO6,BO7,BO8,BO9,BO10))+0.5+0.000000001))</f>
        <v>0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IF(Y16=1,IF(ISNUMBER(E16),1,0),IF(AH16="",0,IF(IF($U$37=1,COUNTIF($AH$6:$AK$25,"&gt;"&amp;AH16),COUNTIF($AM$6:$AP$25,"&gt;"&amp;AH16))+COUNTIF($AH$6:$AK$15,AH16)+1&lt;=$U$47,1,0)))</f>
        <v>0</v>
      </c>
      <c r="AS16" s="15" t="n">
        <f aca="false">IF(Y16=1,IF(ISNUMBER(F16),1,0),IF(AI16="",0,IF(IF($U$37=1,COUNTIF($AH$6:$AK$25,"&gt;"&amp;AI16),COUNTIF($AM$6:$AP$25,"&gt;"&amp;AI16))+COUNTIF($AH$6:$AK$15,AI16)+COUNTIF($AH16:AH16,AI16)+1&lt;=$U$47,1,0)))</f>
        <v>0</v>
      </c>
      <c r="AT16" s="15" t="n">
        <f aca="false">IF(Y16=1,IF(ISNUMBER(G16),1,0),IF(AJ16="",0,IF(IF($U$37=1,COUNTIF($AH$6:$AK$25,"&gt;"&amp;AJ16),COUNTIF($AM$6:$AP$25,"&gt;"&amp;AJ16))+COUNTIF($AH$6:$AK$15,AJ16)+COUNTIF($AH16:AI16,AJ16)+1&lt;=$U$47,1,0)))</f>
        <v>0</v>
      </c>
      <c r="AU16" s="15" t="n">
        <f aca="false">IF(Y16=1,IF(ISNUMBER(H16),1,0),IF(AK16="",0,IF(IF($U$37=1,COUNTIF($AH$6:$AK$25,"&gt;"&amp;AK16),COUNTIF($AM$6:$AP$25,"&gt;"&amp;AK16))+COUNTIF($AH$6:$AK$15,AK16)+COUNTIF($AH16:AJ16,AK16)+1&lt;=$U$47,1,0)))</f>
        <v>0</v>
      </c>
      <c r="BZ16" s="15" t="n">
        <f aca="false">IFERROR(LARGE($AH$6:$AK$25,15),0)</f>
        <v>0</v>
      </c>
      <c r="CA16" s="15" t="n">
        <f aca="false">CA15+BZ16</f>
        <v>0</v>
      </c>
      <c r="CB16" s="15" t="n">
        <f aca="false">IFERROR(LARGE($AM$6:$AP$25,15),0)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194</v>
      </c>
      <c r="C17" s="37"/>
      <c r="D17" s="38"/>
      <c r="E17" s="24"/>
      <c r="F17" s="24"/>
      <c r="G17" s="24"/>
      <c r="H17" s="24"/>
      <c r="I17" s="39"/>
      <c r="J17" s="39"/>
      <c r="T17" s="15" t="s">
        <v>195</v>
      </c>
      <c r="U17" s="15" t="n">
        <f aca="false">SUM(BP6,BP7,BP8,BP9,BP10)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IF(Y17=1,IF(ISNUMBER(E17),1,0),IF(AH17="",0,IF(IF($U$37=1,COUNTIF($AH$6:$AK$25,"&gt;"&amp;AH17),COUNTIF($AM$6:$AP$25,"&gt;"&amp;AH17))+COUNTIF($AH$6:$AK$16,AH17)+1&lt;=$U$47,1,0)))</f>
        <v>0</v>
      </c>
      <c r="AS17" s="15" t="n">
        <f aca="false">IF(Y17=1,IF(ISNUMBER(F17),1,0),IF(AI17="",0,IF(IF($U$37=1,COUNTIF($AH$6:$AK$25,"&gt;"&amp;AI17),COUNTIF($AM$6:$AP$25,"&gt;"&amp;AI17))+COUNTIF($AH$6:$AK$16,AI17)+COUNTIF($AH17:AH17,AI17)+1&lt;=$U$47,1,0)))</f>
        <v>0</v>
      </c>
      <c r="AT17" s="15" t="n">
        <f aca="false">IF(Y17=1,IF(ISNUMBER(G17),1,0),IF(AJ17="",0,IF(IF($U$37=1,COUNTIF($AH$6:$AK$25,"&gt;"&amp;AJ17),COUNTIF($AM$6:$AP$25,"&gt;"&amp;AJ17))+COUNTIF($AH$6:$AK$16,AJ17)+COUNTIF($AH17:AI17,AJ17)+1&lt;=$U$47,1,0)))</f>
        <v>0</v>
      </c>
      <c r="AU17" s="15" t="n">
        <f aca="false">IF(Y17=1,IF(ISNUMBER(H17),1,0),IF(AK17="",0,IF(IF($U$37=1,COUNTIF($AH$6:$AK$25,"&gt;"&amp;AK17),COUNTIF($AM$6:$AP$25,"&gt;"&amp;AK17))+COUNTIF($AH$6:$AK$16,AK17)+COUNTIF($AH17:AJ17,AK17)+1&lt;=$U$47,1,0)))</f>
        <v>0</v>
      </c>
      <c r="BZ17" s="15" t="n">
        <f aca="false">IFERROR(LARGE($AH$6:$AK$25,16),0)</f>
        <v>0</v>
      </c>
      <c r="CA17" s="15" t="n">
        <f aca="false">CA16+BZ17</f>
        <v>0</v>
      </c>
      <c r="CB17" s="15" t="n">
        <f aca="false">IFERROR(LARGE($AM$6:$AP$25,16),0)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196</v>
      </c>
      <c r="C18" s="37"/>
      <c r="D18" s="38"/>
      <c r="E18" s="24"/>
      <c r="F18" s="24"/>
      <c r="G18" s="24"/>
      <c r="H18" s="24"/>
      <c r="I18" s="39"/>
      <c r="J18" s="39"/>
      <c r="L18" s="40" t="s">
        <v>197</v>
      </c>
      <c r="M18" s="41" t="s">
        <v>149</v>
      </c>
      <c r="N18" s="6" t="s">
        <v>198</v>
      </c>
      <c r="T18" s="15" t="s">
        <v>199</v>
      </c>
      <c r="U18" s="15" t="n">
        <f aca="false">BP6+BP7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IF(Y18=1,IF(ISNUMBER(E18),1,0),IF(AH18="",0,IF(IF($U$37=1,COUNTIF($AH$6:$AK$25,"&gt;"&amp;AH18),COUNTIF($AM$6:$AP$25,"&gt;"&amp;AH18))+COUNTIF($AH$6:$AK$17,AH18)+1&lt;=$U$47,1,0)))</f>
        <v>0</v>
      </c>
      <c r="AS18" s="15" t="n">
        <f aca="false">IF(Y18=1,IF(ISNUMBER(F18),1,0),IF(AI18="",0,IF(IF($U$37=1,COUNTIF($AH$6:$AK$25,"&gt;"&amp;AI18),COUNTIF($AM$6:$AP$25,"&gt;"&amp;AI18))+COUNTIF($AH$6:$AK$17,AI18)+COUNTIF($AH18:AH18,AI18)+1&lt;=$U$47,1,0)))</f>
        <v>0</v>
      </c>
      <c r="AT18" s="15" t="n">
        <f aca="false">IF(Y18=1,IF(ISNUMBER(G18),1,0),IF(AJ18="",0,IF(IF($U$37=1,COUNTIF($AH$6:$AK$25,"&gt;"&amp;AJ18),COUNTIF($AM$6:$AP$25,"&gt;"&amp;AJ18))+COUNTIF($AH$6:$AK$17,AJ18)+COUNTIF($AH18:AI18,AJ18)+1&lt;=$U$47,1,0)))</f>
        <v>0</v>
      </c>
      <c r="AU18" s="15" t="n">
        <f aca="false">IF(Y18=1,IF(ISNUMBER(H18),1,0),IF(AK18="",0,IF(IF($U$37=1,COUNTIF($AH$6:$AK$25,"&gt;"&amp;AK18),COUNTIF($AM$6:$AP$25,"&gt;"&amp;AK18))+COUNTIF($AH$6:$AK$17,AK18)+COUNTIF($AH18:AJ18,AK18)+1&lt;=$U$47,1,0)))</f>
        <v>0</v>
      </c>
      <c r="BZ18" s="15" t="n">
        <f aca="false">IFERROR(LARGE($AH$6:$AK$25,17),0)</f>
        <v>0</v>
      </c>
      <c r="CA18" s="15" t="n">
        <f aca="false">CA17+BZ18</f>
        <v>0</v>
      </c>
      <c r="CB18" s="15" t="n">
        <f aca="false">IFERROR(LARGE($AM$6:$AP$25,17),0)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200</v>
      </c>
      <c r="C19" s="37"/>
      <c r="D19" s="38"/>
      <c r="E19" s="24"/>
      <c r="F19" s="24"/>
      <c r="G19" s="24"/>
      <c r="H19" s="24"/>
      <c r="I19" s="39"/>
      <c r="J19" s="39"/>
      <c r="L19" s="42" t="s">
        <v>201</v>
      </c>
      <c r="M19" s="43" t="str">
        <f aca="false">IF($U$4=0,"",IF($U$49=1,"✓ erfüllt","✗ nicht erfüllt"))</f>
        <v/>
      </c>
      <c r="N19" s="36" t="str">
        <f aca="false">IF($U$4=0,"",$U$38&amp;" Punkte")</f>
        <v/>
      </c>
      <c r="T19" s="15" t="s">
        <v>202</v>
      </c>
      <c r="U19" s="15" t="n">
        <f aca="false">BQ6+BQ7+BQ8+BQ9+BQ10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IF(Y19=1,IF(ISNUMBER(E19),1,0),IF(AH19="",0,IF(IF($U$37=1,COUNTIF($AH$6:$AK$25,"&gt;"&amp;AH19),COUNTIF($AM$6:$AP$25,"&gt;"&amp;AH19))+COUNTIF($AH$6:$AK$18,AH19)+1&lt;=$U$47,1,0)))</f>
        <v>0</v>
      </c>
      <c r="AS19" s="15" t="n">
        <f aca="false">IF(Y19=1,IF(ISNUMBER(F19),1,0),IF(AI19="",0,IF(IF($U$37=1,COUNTIF($AH$6:$AK$25,"&gt;"&amp;AI19),COUNTIF($AM$6:$AP$25,"&gt;"&amp;AI19))+COUNTIF($AH$6:$AK$18,AI19)+COUNTIF($AH19:AH19,AI19)+1&lt;=$U$47,1,0)))</f>
        <v>0</v>
      </c>
      <c r="AT19" s="15" t="n">
        <f aca="false">IF(Y19=1,IF(ISNUMBER(G19),1,0),IF(AJ19="",0,IF(IF($U$37=1,COUNTIF($AH$6:$AK$25,"&gt;"&amp;AJ19),COUNTIF($AM$6:$AP$25,"&gt;"&amp;AJ19))+COUNTIF($AH$6:$AK$18,AJ19)+COUNTIF($AH19:AI19,AJ19)+1&lt;=$U$47,1,0)))</f>
        <v>0</v>
      </c>
      <c r="AU19" s="15" t="n">
        <f aca="false">IF(Y19=1,IF(ISNUMBER(H19),1,0),IF(AK19="",0,IF(IF($U$37=1,COUNTIF($AH$6:$AK$25,"&gt;"&amp;AK19),COUNTIF($AM$6:$AP$25,"&gt;"&amp;AK19))+COUNTIF($AH$6:$AK$18,AK19)+COUNTIF($AH19:AJ19,AK19)+1&lt;=$U$47,1,0)))</f>
        <v>0</v>
      </c>
      <c r="BZ19" s="15" t="n">
        <f aca="false">IFERROR(LARGE($AH$6:$AK$25,18),0)</f>
        <v>0</v>
      </c>
      <c r="CA19" s="15" t="n">
        <f aca="false">CA18+BZ19</f>
        <v>0</v>
      </c>
      <c r="CB19" s="15" t="n">
        <f aca="false">IFERROR(LARGE($AM$6:$AP$25,18),0)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203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"&amp;$U$41&amp;" Unterkurse (unter 5 Punkten)"</f>
        <v>Höchstens 6 Unterkurse (unter 5 Punkten)</v>
      </c>
      <c r="M20" s="43" t="str">
        <f aca="false">IF($U$4=0,"",IF($U$50=1,"✓ erfüllt","✗ nicht erfüllt"))</f>
        <v/>
      </c>
      <c r="N20" s="36" t="str">
        <f aca="false">IF($U$4=0,"",$U$40&amp;" Unterkurse")</f>
        <v/>
      </c>
      <c r="T20" s="15" t="s">
        <v>204</v>
      </c>
      <c r="U20" s="15" t="n">
        <f aca="false">BR6+BR7+BR8+BR9+BR10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IF(Y20=1,IF(ISNUMBER(E20),1,0),IF(AH20="",0,IF(IF($U$37=1,COUNTIF($AH$6:$AK$25,"&gt;"&amp;AH20),COUNTIF($AM$6:$AP$25,"&gt;"&amp;AH20))+COUNTIF($AH$6:$AK$19,AH20)+1&lt;=$U$47,1,0)))</f>
        <v>0</v>
      </c>
      <c r="AS20" s="15" t="n">
        <f aca="false">IF(Y20=1,IF(ISNUMBER(F20),1,0),IF(AI20="",0,IF(IF($U$37=1,COUNTIF($AH$6:$AK$25,"&gt;"&amp;AI20),COUNTIF($AM$6:$AP$25,"&gt;"&amp;AI20))+COUNTIF($AH$6:$AK$19,AI20)+COUNTIF($AH20:AH20,AI20)+1&lt;=$U$47,1,0)))</f>
        <v>0</v>
      </c>
      <c r="AT20" s="15" t="n">
        <f aca="false">IF(Y20=1,IF(ISNUMBER(G20),1,0),IF(AJ20="",0,IF(IF($U$37=1,COUNTIF($AH$6:$AK$25,"&gt;"&amp;AJ20),COUNTIF($AM$6:$AP$25,"&gt;"&amp;AJ20))+COUNTIF($AH$6:$AK$19,AJ20)+COUNTIF($AH20:AI20,AJ20)+1&lt;=$U$47,1,0)))</f>
        <v>0</v>
      </c>
      <c r="AU20" s="15" t="n">
        <f aca="false">IF(Y20=1,IF(ISNUMBER(H20),1,0),IF(AK20="",0,IF(IF($U$37=1,COUNTIF($AH$6:$AK$25,"&gt;"&amp;AK20),COUNTIF($AM$6:$AP$25,"&gt;"&amp;AK20))+COUNTIF($AH$6:$AK$19,AK20)+COUNTIF($AH20:AJ20,AK20)+1&lt;=$U$47,1,0)))</f>
        <v>0</v>
      </c>
      <c r="BZ20" s="15" t="n">
        <f aca="false">IFERROR(LARGE($AH$6:$AK$25,19),0)</f>
        <v>0</v>
      </c>
      <c r="CA20" s="15" t="n">
        <f aca="false">CA19+BZ20</f>
        <v>0</v>
      </c>
      <c r="CB20" s="15" t="n">
        <f aca="false">IFERROR(LARGE($AM$6:$AP$25,19),0)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205</v>
      </c>
      <c r="C21" s="37"/>
      <c r="D21" s="38"/>
      <c r="E21" s="24"/>
      <c r="F21" s="24"/>
      <c r="G21" s="24"/>
      <c r="H21" s="24"/>
      <c r="I21" s="39"/>
      <c r="J21" s="39"/>
      <c r="L21" s="42" t="s">
        <v>321</v>
      </c>
      <c r="M21" s="43" t="str">
        <f aca="false">IF($U$4=0,"",IF($U$51=1,"✓ erfüllt","✗ nicht erfüllt"))</f>
        <v/>
      </c>
      <c r="N21" s="36" t="str">
        <f aca="false">IF($U$4=0,"",$U$60&amp;" Unterkurse")</f>
        <v/>
      </c>
      <c r="T21" s="15" t="s">
        <v>207</v>
      </c>
      <c r="U21" s="15" t="n">
        <f aca="false">MIN(300,INT((SUM(BU6,BU7,BU8,BU9,BU10))+0.5+0.000000001))</f>
        <v>140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IF(Y21=1,IF(ISNUMBER(E21),1,0),IF(AH21="",0,IF(IF($U$37=1,COUNTIF($AH$6:$AK$25,"&gt;"&amp;AH21),COUNTIF($AM$6:$AP$25,"&gt;"&amp;AH21))+COUNTIF($AH$6:$AK$20,AH21)+1&lt;=$U$47,1,0)))</f>
        <v>0</v>
      </c>
      <c r="AS21" s="15" t="n">
        <f aca="false">IF(Y21=1,IF(ISNUMBER(F21),1,0),IF(AI21="",0,IF(IF($U$37=1,COUNTIF($AH$6:$AK$25,"&gt;"&amp;AI21),COUNTIF($AM$6:$AP$25,"&gt;"&amp;AI21))+COUNTIF($AH$6:$AK$20,AI21)+COUNTIF($AH21:AH21,AI21)+1&lt;=$U$47,1,0)))</f>
        <v>0</v>
      </c>
      <c r="AT21" s="15" t="n">
        <f aca="false">IF(Y21=1,IF(ISNUMBER(G21),1,0),IF(AJ21="",0,IF(IF($U$37=1,COUNTIF($AH$6:$AK$25,"&gt;"&amp;AJ21),COUNTIF($AM$6:$AP$25,"&gt;"&amp;AJ21))+COUNTIF($AH$6:$AK$20,AJ21)+COUNTIF($AH21:AI21,AJ21)+1&lt;=$U$47,1,0)))</f>
        <v>0</v>
      </c>
      <c r="AU21" s="15" t="n">
        <f aca="false">IF(Y21=1,IF(ISNUMBER(H21),1,0),IF(AK21="",0,IF(IF($U$37=1,COUNTIF($AH$6:$AK$25,"&gt;"&amp;AK21),COUNTIF($AM$6:$AP$25,"&gt;"&amp;AK21))+COUNTIF($AH$6:$AK$20,AK21)+COUNTIF($AH21:AJ21,AK21)+1&lt;=$U$47,1,0)))</f>
        <v>0</v>
      </c>
      <c r="BZ21" s="15" t="n">
        <f aca="false">IFERROR(LARGE($AH$6:$AK$25,20),0)</f>
        <v>0</v>
      </c>
      <c r="CA21" s="15" t="n">
        <f aca="false">CA20+BZ21</f>
        <v>0</v>
      </c>
      <c r="CB21" s="15" t="n">
        <f aca="false">IFERROR(LARGE($AM$6:$AP$25,20),0)</f>
        <v>0</v>
      </c>
      <c r="CC21" s="15" t="n">
        <f aca="false">CC20+CB21</f>
        <v>0</v>
      </c>
    </row>
    <row r="22" customFormat="false" ht="15" hidden="false" customHeight="false" outlineLevel="0" collapsed="false">
      <c r="B22" s="36" t="s">
        <v>208</v>
      </c>
      <c r="C22" s="37"/>
      <c r="D22" s="38"/>
      <c r="E22" s="24"/>
      <c r="F22" s="24"/>
      <c r="G22" s="24"/>
      <c r="H22" s="24"/>
      <c r="I22" s="39"/>
      <c r="J22" s="39"/>
      <c r="L22" s="42" t="s">
        <v>323</v>
      </c>
      <c r="M22" s="43" t="str">
        <f aca="false">IF($U$4=0,"",IF($U$53=1,"✓ erfüllt","✗ nicht erfüllt"))</f>
        <v/>
      </c>
      <c r="N22" s="36" t="str">
        <f aca="false">IF($U$4=0,"",ROUND($U$43,0)&amp;" Punkte")</f>
        <v/>
      </c>
      <c r="T22" s="15" t="s">
        <v>210</v>
      </c>
      <c r="U22" s="15" t="n">
        <f aca="false">SUM(BV6,BV7,BV8,BV9,BV10)</f>
        <v>5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IF(Y22=1,IF(ISNUMBER(E22),1,0),IF(AH22="",0,IF(IF($U$37=1,COUNTIF($AH$6:$AK$25,"&gt;"&amp;AH22),COUNTIF($AM$6:$AP$25,"&gt;"&amp;AH22))+COUNTIF($AH$6:$AK$21,AH22)+1&lt;=$U$47,1,0)))</f>
        <v>0</v>
      </c>
      <c r="AS22" s="15" t="n">
        <f aca="false">IF(Y22=1,IF(ISNUMBER(F22),1,0),IF(AI22="",0,IF(IF($U$37=1,COUNTIF($AH$6:$AK$25,"&gt;"&amp;AI22),COUNTIF($AM$6:$AP$25,"&gt;"&amp;AI22))+COUNTIF($AH$6:$AK$21,AI22)+COUNTIF($AH22:AH22,AI22)+1&lt;=$U$47,1,0)))</f>
        <v>0</v>
      </c>
      <c r="AT22" s="15" t="n">
        <f aca="false">IF(Y22=1,IF(ISNUMBER(G22),1,0),IF(AJ22="",0,IF(IF($U$37=1,COUNTIF($AH$6:$AK$25,"&gt;"&amp;AJ22),COUNTIF($AM$6:$AP$25,"&gt;"&amp;AJ22))+COUNTIF($AH$6:$AK$21,AJ22)+COUNTIF($AH22:AI22,AJ22)+1&lt;=$U$47,1,0)))</f>
        <v>0</v>
      </c>
      <c r="AU22" s="15" t="n">
        <f aca="false">IF(Y22=1,IF(ISNUMBER(H22),1,0),IF(AK22="",0,IF(IF($U$37=1,COUNTIF($AH$6:$AK$25,"&gt;"&amp;AK22),COUNTIF($AM$6:$AP$25,"&gt;"&amp;AK22))+COUNTIF($AH$6:$AK$21,AK22)+COUNTIF($AH22:AJ22,AK22)+1&lt;=$U$47,1,0)))</f>
        <v>0</v>
      </c>
      <c r="BZ22" s="15" t="n">
        <f aca="false">IFERROR(LARGE($AH$6:$AK$25,21),0)</f>
        <v>0</v>
      </c>
      <c r="CA22" s="15" t="n">
        <f aca="false">CA21+BZ22</f>
        <v>0</v>
      </c>
      <c r="CB22" s="15" t="n">
        <f aca="false">IFERROR(LARGE($AM$6:$AP$25,21),0)</f>
        <v>0</v>
      </c>
      <c r="CC22" s="15" t="n">
        <f aca="false">CC21+CB22</f>
        <v>0</v>
      </c>
      <c r="CE22" s="15" t="s">
        <v>79</v>
      </c>
      <c r="CF22" s="15" t="s">
        <v>80</v>
      </c>
      <c r="CG22" s="15" t="s">
        <v>81</v>
      </c>
      <c r="CH22" s="15" t="s">
        <v>82</v>
      </c>
      <c r="CI22" s="15" t="s">
        <v>83</v>
      </c>
      <c r="CJ22" s="15" t="s">
        <v>84</v>
      </c>
      <c r="CK22" s="15" t="s">
        <v>85</v>
      </c>
      <c r="CL22" s="15" t="s">
        <v>86</v>
      </c>
      <c r="CM22" s="15" t="s">
        <v>87</v>
      </c>
      <c r="CN22" s="15" t="s">
        <v>88</v>
      </c>
      <c r="CO22" s="15" t="s">
        <v>89</v>
      </c>
      <c r="CP22" s="15" t="s">
        <v>90</v>
      </c>
      <c r="CQ22" s="15" t="s">
        <v>91</v>
      </c>
      <c r="CR22" s="15" t="s">
        <v>92</v>
      </c>
      <c r="CS22" s="15" t="s">
        <v>93</v>
      </c>
      <c r="CT22" s="15" t="s">
        <v>94</v>
      </c>
      <c r="CU22" s="15" t="s">
        <v>95</v>
      </c>
      <c r="CV22" s="15" t="s">
        <v>96</v>
      </c>
      <c r="CW22" s="15" t="s">
        <v>97</v>
      </c>
      <c r="CX22" s="15" t="s">
        <v>98</v>
      </c>
      <c r="CY22" s="15" t="s">
        <v>99</v>
      </c>
      <c r="CZ22" s="15" t="s">
        <v>100</v>
      </c>
      <c r="DA22" s="15" t="s">
        <v>101</v>
      </c>
      <c r="DB22" s="15" t="s">
        <v>102</v>
      </c>
      <c r="DC22" s="15" t="s">
        <v>103</v>
      </c>
      <c r="DD22" s="15" t="s">
        <v>104</v>
      </c>
      <c r="DE22" s="15" t="s">
        <v>105</v>
      </c>
      <c r="DF22" s="15" t="s">
        <v>106</v>
      </c>
      <c r="DG22" s="15" t="s">
        <v>107</v>
      </c>
      <c r="DH22" s="15" t="s">
        <v>108</v>
      </c>
    </row>
    <row r="23" customFormat="false" ht="15" hidden="false" customHeight="false" outlineLevel="0" collapsed="false">
      <c r="B23" s="36" t="s">
        <v>211</v>
      </c>
      <c r="C23" s="37"/>
      <c r="D23" s="38"/>
      <c r="E23" s="24"/>
      <c r="F23" s="24"/>
      <c r="G23" s="24"/>
      <c r="H23" s="24"/>
      <c r="I23" s="39"/>
      <c r="J23" s="39"/>
      <c r="L23" s="42" t="s">
        <v>324</v>
      </c>
      <c r="M23" s="43" t="str">
        <f aca="false">IF($U$4=0,"",IF($U$54=1,"✓ erfüllt","✗ nicht erfüllt"))</f>
        <v/>
      </c>
      <c r="N23" s="36" t="str">
        <f aca="false">IF($U$4=0,"",ROUND($U$44,0)&amp;" Punkte")</f>
        <v/>
      </c>
      <c r="T23" s="15" t="s">
        <v>213</v>
      </c>
      <c r="U23" s="15" t="n">
        <f aca="false">BV6+BV7</f>
        <v>2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IF(Y23=1,IF(ISNUMBER(E23),1,0),IF(AH23="",0,IF(IF($U$37=1,COUNTIF($AH$6:$AK$25,"&gt;"&amp;AH23),COUNTIF($AM$6:$AP$25,"&gt;"&amp;AH23))+COUNTIF($AH$6:$AK$22,AH23)+1&lt;=$U$47,1,0)))</f>
        <v>0</v>
      </c>
      <c r="AS23" s="15" t="n">
        <f aca="false">IF(Y23=1,IF(ISNUMBER(F23),1,0),IF(AI23="",0,IF(IF($U$37=1,COUNTIF($AH$6:$AK$25,"&gt;"&amp;AI23),COUNTIF($AM$6:$AP$25,"&gt;"&amp;AI23))+COUNTIF($AH$6:$AK$22,AI23)+COUNTIF($AH23:AH23,AI23)+1&lt;=$U$47,1,0)))</f>
        <v>0</v>
      </c>
      <c r="AT23" s="15" t="n">
        <f aca="false">IF(Y23=1,IF(ISNUMBER(G23),1,0),IF(AJ23="",0,IF(IF($U$37=1,COUNTIF($AH$6:$AK$25,"&gt;"&amp;AJ23),COUNTIF($AM$6:$AP$25,"&gt;"&amp;AJ23))+COUNTIF($AH$6:$AK$22,AJ23)+COUNTIF($AH23:AI23,AJ23)+1&lt;=$U$47,1,0)))</f>
        <v>0</v>
      </c>
      <c r="AU23" s="15" t="n">
        <f aca="false">IF(Y23=1,IF(ISNUMBER(H23),1,0),IF(AK23="",0,IF(IF($U$37=1,COUNTIF($AH$6:$AK$25,"&gt;"&amp;AK23),COUNTIF($AM$6:$AP$25,"&gt;"&amp;AK23))+COUNTIF($AH$6:$AK$22,AK23)+COUNTIF($AH23:AJ23,AK23)+1&lt;=$U$47,1,0)))</f>
        <v>0</v>
      </c>
      <c r="BZ23" s="15" t="n">
        <f aca="false">IFERROR(LARGE($AH$6:$AK$25,22),0)</f>
        <v>0</v>
      </c>
      <c r="CA23" s="15" t="n">
        <f aca="false">CA22+BZ23</f>
        <v>0</v>
      </c>
      <c r="CB23" s="15" t="n">
        <f aca="false">IFERROR(LARGE($AM$6:$AP$25,22),0)</f>
        <v>0</v>
      </c>
      <c r="CC23" s="15" t="n">
        <f aca="false">CC22+CB23</f>
        <v>0</v>
      </c>
      <c r="CE23" s="15" t="n">
        <f aca="false">32</f>
        <v>32</v>
      </c>
      <c r="CF23" s="15" t="n">
        <f aca="false">CE23-$V$5-$V$6-0</f>
        <v>12</v>
      </c>
      <c r="CG23" s="15" t="n">
        <f aca="false">MAX(0,CF23)</f>
        <v>12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12</v>
      </c>
      <c r="CK23" s="15" t="n">
        <f aca="false">$V$5+CH23+CJ23</f>
        <v>32</v>
      </c>
      <c r="CL23" s="15" t="n">
        <f aca="false">2*BE6+2*BF6+2*BE7+2*BF7</f>
        <v>112</v>
      </c>
      <c r="CM23" s="15" t="n">
        <f aca="false">2*BG6+2*BH6+2*BG7+2*BH7+1*BG8+1*BH8+1*BG9+1*BH9+1*BG10+1*BH10+SUM($AE$12:$AE$25)</f>
        <v>28</v>
      </c>
      <c r="CN23" s="15" t="n">
        <f aca="false">IF(CH23=0,0,INDEX($CC$2:$CC$57,CH23))</f>
        <v>0</v>
      </c>
      <c r="CO23" s="15" t="n">
        <f aca="false">CL23+$V$11+CN23+CJ23*$U$2</f>
        <v>280</v>
      </c>
      <c r="CP23" s="15" t="n">
        <f aca="false">CM23+CH23+CJ23</f>
        <v>40</v>
      </c>
      <c r="CQ23" s="15" t="n">
        <f aca="false">MIN(600,INT((CO23)+0.5+0.000000001))</f>
        <v>280</v>
      </c>
      <c r="CR23" s="15" t="n">
        <f aca="false">$V$9+CT23</f>
        <v>0</v>
      </c>
      <c r="CS23" s="15" t="n">
        <f aca="false">6</f>
        <v>6</v>
      </c>
      <c r="CT23" s="15" t="n">
        <f aca="false">$V$10+MAX(0,CH23-$V$8)+CJ23*IF($U$2&lt;5,1,0)</f>
        <v>0</v>
      </c>
      <c r="CU23" s="15" t="n">
        <f aca="false">$V$11+CN23+CJ23*$U$2</f>
        <v>168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IF($V$9&lt;=2,1,0)</f>
        <v>1</v>
      </c>
      <c r="CY23" s="15" t="n">
        <f aca="false">1</f>
        <v>1</v>
      </c>
      <c r="CZ23" s="15" t="n">
        <f aca="false">IF(CL23&gt;=80-0.000000001,1,0)</f>
        <v>1</v>
      </c>
      <c r="DA23" s="15" t="n">
        <f aca="false">IF(CU23&gt;=120-0.000000001,1,0)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1028068</v>
      </c>
    </row>
    <row r="24" customFormat="false" ht="15" hidden="false" customHeight="false" outlineLevel="0" collapsed="false">
      <c r="B24" s="36" t="s">
        <v>214</v>
      </c>
      <c r="C24" s="37"/>
      <c r="D24" s="38"/>
      <c r="E24" s="24"/>
      <c r="F24" s="24"/>
      <c r="G24" s="24"/>
      <c r="H24" s="24"/>
      <c r="I24" s="39"/>
      <c r="J24" s="39"/>
      <c r="L24" s="42" t="s">
        <v>209</v>
      </c>
      <c r="M24" s="43" t="str">
        <f aca="false">IF($U$4=0,"",IF($U$55=1,"✓ erfüllt","✗ nicht erfüllt"))</f>
        <v/>
      </c>
      <c r="N24" s="36" t="str">
        <f aca="false">IF($U$4=0,"",$U$12&amp;" mit 0 Punkten")</f>
        <v/>
      </c>
      <c r="T24" s="15" t="s">
        <v>216</v>
      </c>
      <c r="U24" s="15" t="n">
        <f aca="false">BW6+BW7+BW8+BW9+BW10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IF(Y24=1,IF(ISNUMBER(E24),1,0),IF(AH24="",0,IF(IF($U$37=1,COUNTIF($AH$6:$AK$25,"&gt;"&amp;AH24),COUNTIF($AM$6:$AP$25,"&gt;"&amp;AH24))+COUNTIF($AH$6:$AK$23,AH24)+1&lt;=$U$47,1,0)))</f>
        <v>0</v>
      </c>
      <c r="AS24" s="15" t="n">
        <f aca="false">IF(Y24=1,IF(ISNUMBER(F24),1,0),IF(AI24="",0,IF(IF($U$37=1,COUNTIF($AH$6:$AK$25,"&gt;"&amp;AI24),COUNTIF($AM$6:$AP$25,"&gt;"&amp;AI24))+COUNTIF($AH$6:$AK$23,AI24)+COUNTIF($AH24:AH24,AI24)+1&lt;=$U$47,1,0)))</f>
        <v>0</v>
      </c>
      <c r="AT24" s="15" t="n">
        <f aca="false">IF(Y24=1,IF(ISNUMBER(G24),1,0),IF(AJ24="",0,IF(IF($U$37=1,COUNTIF($AH$6:$AK$25,"&gt;"&amp;AJ24),COUNTIF($AM$6:$AP$25,"&gt;"&amp;AJ24))+COUNTIF($AH$6:$AK$23,AJ24)+COUNTIF($AH24:AI24,AJ24)+1&lt;=$U$47,1,0)))</f>
        <v>0</v>
      </c>
      <c r="AU24" s="15" t="n">
        <f aca="false">IF(Y24=1,IF(ISNUMBER(H24),1,0),IF(AK24="",0,IF(IF($U$37=1,COUNTIF($AH$6:$AK$25,"&gt;"&amp;AK24),COUNTIF($AM$6:$AP$25,"&gt;"&amp;AK24))+COUNTIF($AH$6:$AK$23,AK24)+COUNTIF($AH24:AJ24,AK24)+1&lt;=$U$47,1,0)))</f>
        <v>0</v>
      </c>
      <c r="BZ24" s="15" t="n">
        <f aca="false">IFERROR(LARGE($AH$6:$AK$25,23),0)</f>
        <v>0</v>
      </c>
      <c r="CA24" s="15" t="n">
        <f aca="false">CA23+BZ24</f>
        <v>0</v>
      </c>
      <c r="CB24" s="15" t="n">
        <f aca="false">IFERROR(LARGE($AM$6:$AP$25,23),0)</f>
        <v>0</v>
      </c>
      <c r="CC24" s="15" t="n">
        <f aca="false">CC23+CB24</f>
        <v>0</v>
      </c>
    </row>
    <row r="25" customFormat="false" ht="22.35" hidden="false" customHeight="false" outlineLevel="0" collapsed="false">
      <c r="B25" s="36" t="s">
        <v>217</v>
      </c>
      <c r="C25" s="37"/>
      <c r="D25" s="38"/>
      <c r="E25" s="24"/>
      <c r="F25" s="24"/>
      <c r="G25" s="24"/>
      <c r="H25" s="24"/>
      <c r="I25" s="39"/>
      <c r="J25" s="39"/>
      <c r="L25" s="42" t="s">
        <v>212</v>
      </c>
      <c r="M25" s="43" t="str">
        <f aca="false">IF($U$4=0,"",IF($U$58=1,"✓ erfüllt","✗ nicht erfüllt"))</f>
        <v/>
      </c>
      <c r="N25" s="36"/>
      <c r="T25" s="15" t="s">
        <v>218</v>
      </c>
      <c r="U25" s="15" t="n">
        <f aca="false">BX6+BX7+BX8+BX9+BX10</f>
        <v>0</v>
      </c>
      <c r="X25" s="15" t="n">
        <f aca="false">IF(OR(LEN(TRIM(C25))&gt;0,COUNT(E25:H25)&gt;0),1,0)</f>
        <v>0</v>
      </c>
      <c r="Y25" s="15" t="n">
        <f aca="false">IF(LEN(TRIM(D25))&gt;0,1,0)</f>
        <v>0</v>
      </c>
      <c r="Z25" s="15" t="n">
        <f aca="false">Y25*SUM(E25:H25)</f>
        <v>0</v>
      </c>
      <c r="AA25" s="15" t="n">
        <f aca="false">Y25*COUNT(E25:H25)</f>
        <v>0</v>
      </c>
      <c r="AB25" s="15" t="n">
        <f aca="false">Y25*COUNTIF(E25:H25,"&lt;5")</f>
        <v>0</v>
      </c>
      <c r="AC25" s="15" t="n">
        <f aca="false">Y25*COUNTIF(E25:H25,0)</f>
        <v>0</v>
      </c>
      <c r="AD25" s="15" t="n">
        <f aca="false">Y25*(SUM(E25:H25)+X25*$U$2*(4-COUNT(E25:H25)))</f>
        <v>0</v>
      </c>
      <c r="AE25" s="15" t="n">
        <f aca="false">Y25*(COUNT(E25:H25)+X25*(4-COUNT(E25:H25)))</f>
        <v>0</v>
      </c>
      <c r="AF25" s="15" t="n">
        <f aca="false">Y25*(COUNTIF(E25:H25,"&lt;5")+X25*IF($U$2&lt;5,1,0)*(4-COUNT(E25:H25)))</f>
        <v>0</v>
      </c>
      <c r="AH25" s="15" t="str">
        <f aca="false">IF(Y25=1,"",IF(ISNUMBER(E25),IF(E25=0,"",E25),""))</f>
        <v/>
      </c>
      <c r="AI25" s="15" t="str">
        <f aca="false">IF(Y25=1,"",IF(ISNUMBER(F25),IF(F25=0,"",F25),""))</f>
        <v/>
      </c>
      <c r="AJ25" s="15" t="str">
        <f aca="false">IF(Y25=1,"",IF(ISNUMBER(G25),IF(G25=0,"",G25),""))</f>
        <v/>
      </c>
      <c r="AK25" s="15" t="str">
        <f aca="false">IF(Y25=1,"",IF(ISNUMBER(H25),IF(H25=0,"",H25),""))</f>
        <v/>
      </c>
      <c r="AM25" s="15" t="str">
        <f aca="false">IF(Y25=1,"",IF(ISNUMBER(E25),IF(E25=0,"",E25),IF(X25=1,$U$2,"")))</f>
        <v/>
      </c>
      <c r="AN25" s="15" t="str">
        <f aca="false">IF(Y25=1,"",IF(ISNUMBER(F25),IF(F25=0,"",F25),IF(X25=1,$U$2,"")))</f>
        <v/>
      </c>
      <c r="AO25" s="15" t="str">
        <f aca="false">IF(Y25=1,"",IF(ISNUMBER(G25),IF(G25=0,"",G25),IF(X25=1,$U$2,"")))</f>
        <v/>
      </c>
      <c r="AP25" s="15" t="str">
        <f aca="false">IF(Y25=1,"",IF(ISNUMBER(H25),IF(H25=0,"",H25),IF(X25=1,$U$2,"")))</f>
        <v/>
      </c>
      <c r="AR25" s="15" t="n">
        <f aca="false">IF(Y25=1,IF(ISNUMBER(E25),1,0),IF(AH25="",0,IF(IF($U$37=1,COUNTIF($AH$6:$AK$25,"&gt;"&amp;AH25),COUNTIF($AM$6:$AP$25,"&gt;"&amp;AH25))+COUNTIF($AH$6:$AK$24,AH25)+1&lt;=$U$47,1,0)))</f>
        <v>0</v>
      </c>
      <c r="AS25" s="15" t="n">
        <f aca="false">IF(Y25=1,IF(ISNUMBER(F25),1,0),IF(AI25="",0,IF(IF($U$37=1,COUNTIF($AH$6:$AK$25,"&gt;"&amp;AI25),COUNTIF($AM$6:$AP$25,"&gt;"&amp;AI25))+COUNTIF($AH$6:$AK$24,AI25)+COUNTIF($AH25:AH25,AI25)+1&lt;=$U$47,1,0)))</f>
        <v>0</v>
      </c>
      <c r="AT25" s="15" t="n">
        <f aca="false">IF(Y25=1,IF(ISNUMBER(G25),1,0),IF(AJ25="",0,IF(IF($U$37=1,COUNTIF($AH$6:$AK$25,"&gt;"&amp;AJ25),COUNTIF($AM$6:$AP$25,"&gt;"&amp;AJ25))+COUNTIF($AH$6:$AK$24,AJ25)+COUNTIF($AH25:AI25,AJ25)+1&lt;=$U$47,1,0)))</f>
        <v>0</v>
      </c>
      <c r="AU25" s="15" t="n">
        <f aca="false">IF(Y25=1,IF(ISNUMBER(H25),1,0),IF(AK25="",0,IF(IF($U$37=1,COUNTIF($AH$6:$AK$25,"&gt;"&amp;AK25),COUNTIF($AM$6:$AP$25,"&gt;"&amp;AK25))+COUNTIF($AH$6:$AK$24,AK25)+COUNTIF($AH25:AJ25,AK25)+1&lt;=$U$47,1,0)))</f>
        <v>0</v>
      </c>
      <c r="BZ25" s="15" t="n">
        <f aca="false">IFERROR(LARGE($AH$6:$AK$25,24),0)</f>
        <v>0</v>
      </c>
      <c r="CA25" s="15" t="n">
        <f aca="false">CA24+BZ25</f>
        <v>0</v>
      </c>
      <c r="CB25" s="15" t="n">
        <f aca="false">IFERROR(LARGE($AM$6:$AP$25,24),0)</f>
        <v>0</v>
      </c>
      <c r="CC25" s="15" t="n">
        <f aca="false">CC24+CB25</f>
        <v>0</v>
      </c>
    </row>
    <row r="26" customFormat="false" ht="15" hidden="false" customHeight="false" outlineLevel="0" collapsed="false">
      <c r="L26" s="42" t="s">
        <v>215</v>
      </c>
      <c r="M26" s="43" t="str">
        <f aca="false">IF($U$4=0,"",IF($U$63=1,"✓ erfüllt","✗ nicht erfüllt"))</f>
        <v/>
      </c>
      <c r="N26" s="36" t="str">
        <f aca="false">IF($U$4=0,"",$U$61&amp;" Punkte")</f>
        <v/>
      </c>
      <c r="T26" s="15" t="s">
        <v>220</v>
      </c>
      <c r="U26" s="15" t="n">
        <f aca="false">3</f>
        <v>3</v>
      </c>
      <c r="BZ26" s="15" t="n">
        <f aca="false">IFERROR(LARGE($AH$6:$AK$25,25),0)</f>
        <v>0</v>
      </c>
      <c r="CA26" s="15" t="n">
        <f aca="false">CA25+BZ26</f>
        <v>0</v>
      </c>
      <c r="CB26" s="15" t="n">
        <f aca="false">IFERROR(LARGE($AM$6:$AP$25,25),0)</f>
        <v>0</v>
      </c>
      <c r="CC26" s="15" t="n">
        <f aca="false">CC25+CB26</f>
        <v>0</v>
      </c>
    </row>
    <row r="27" customFormat="false" ht="22.35" hidden="false" customHeight="false" outlineLevel="0" collapsed="false">
      <c r="L27" s="42" t="str">
        <f aca="false">"In mindestens "&amp;$U$26&amp;" Prüfungen mindestens 5 Punkte (einfach), davon eine im 1./2. Prüfungsfach"</f>
        <v>In mindestens 3 Prüfungen mindestens 5 Punkte (einfach), davon eine im 1./2. Prüfungsfach</v>
      </c>
      <c r="M27" s="43" t="str">
        <f aca="false">IF($U$4=0,"",IF($U$64=1,"✓ erfüllt","✗ nicht erfüllt"))</f>
        <v/>
      </c>
      <c r="N27" s="36" t="str">
        <f aca="false">IF($U$4=0,"",$U$62&amp;" Prüfungen")</f>
        <v/>
      </c>
      <c r="T27" s="15" t="s">
        <v>222</v>
      </c>
      <c r="U27" s="15" t="n">
        <f aca="false">IF(ISNUMBER($I$6),0,1)+IF(ISNUMBER($I$7),0,1)+IF(ISNUMBER($I$8),0,1)+IF(ISNUMBER($I$9),0,1)+IF(ISNUMBER($I$10),0,1)</f>
        <v>5</v>
      </c>
      <c r="BZ27" s="15" t="n">
        <f aca="false">IFERROR(LARGE($AH$6:$AK$25,26),0)</f>
        <v>0</v>
      </c>
      <c r="CA27" s="15" t="n">
        <f aca="false">CA26+BZ27</f>
        <v>0</v>
      </c>
      <c r="CB27" s="15" t="n">
        <f aca="false">IFERROR(LARGE($AM$6:$AP$25,26),0)</f>
        <v>0</v>
      </c>
      <c r="CC27" s="15" t="n">
        <f aca="false">CC26+CB27</f>
        <v>0</v>
      </c>
    </row>
    <row r="28" customFormat="false" ht="15" hidden="false" customHeight="false" outlineLevel="0" collapsed="false">
      <c r="B28" s="5" t="s">
        <v>378</v>
      </c>
      <c r="L28" s="42" t="s">
        <v>340</v>
      </c>
      <c r="M28" s="43" t="str">
        <f aca="false">IF($U$4=0,"",IF($U$65=1,"✓ erfüllt","✗ nicht erfüllt"))</f>
        <v/>
      </c>
      <c r="N28" s="36"/>
      <c r="T28" s="15" t="s">
        <v>224</v>
      </c>
      <c r="U28" s="15" t="n">
        <f aca="false">IF($U$16&gt;=100,1,0)</f>
        <v>0</v>
      </c>
      <c r="BZ28" s="15" t="n">
        <f aca="false">IFERROR(LARGE($AH$6:$AK$25,27),0)</f>
        <v>0</v>
      </c>
      <c r="CA28" s="15" t="n">
        <f aca="false">CA27+BZ28</f>
        <v>0</v>
      </c>
      <c r="CB28" s="15" t="n">
        <f aca="false">IFERROR(LARGE($AM$6:$AP$25,27),0)</f>
        <v>0</v>
      </c>
      <c r="CC28" s="15" t="n">
        <f aca="false">CC27+CB28</f>
        <v>0</v>
      </c>
    </row>
    <row r="29" customFormat="false" ht="15" hidden="false" customHeight="false" outlineLevel="0" collapsed="false">
      <c r="B29" s="12" t="s">
        <v>379</v>
      </c>
      <c r="L29" s="42" t="s">
        <v>221</v>
      </c>
      <c r="M29" s="43" t="str">
        <f aca="false">IF($U$4=0,"",IF($U$68=1,"✓ erfüllt","✗ nicht erfüllt"))</f>
        <v/>
      </c>
      <c r="N29" s="36" t="str">
        <f aca="false">IF($U$4=0,"",$U$67&amp;" Punkte")</f>
        <v/>
      </c>
      <c r="T29" s="15" t="s">
        <v>227</v>
      </c>
      <c r="U29" s="15" t="n">
        <f aca="false">IF(AND($U$17&gt;=$U$26,$U$18&gt;=1),1,0)</f>
        <v>0</v>
      </c>
      <c r="BZ29" s="15" t="n">
        <f aca="false">IFERROR(LARGE($AH$6:$AK$25,28),0)</f>
        <v>0</v>
      </c>
      <c r="CA29" s="15" t="n">
        <f aca="false">CA28+BZ29</f>
        <v>0</v>
      </c>
      <c r="CB29" s="15" t="n">
        <f aca="false">IFERROR(LARGE($AM$6:$AP$25,28),0)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">
        <v>380</v>
      </c>
      <c r="T30" s="15" t="s">
        <v>230</v>
      </c>
      <c r="U30" s="15" t="n">
        <f aca="false">IF($U$19=0,1,0)</f>
        <v>1</v>
      </c>
      <c r="BZ30" s="15" t="n">
        <f aca="false">IFERROR(LARGE($AH$6:$AK$25,29),0)</f>
        <v>0</v>
      </c>
      <c r="CA30" s="15" t="n">
        <f aca="false">CA29+BZ30</f>
        <v>0</v>
      </c>
      <c r="CB30" s="15" t="n">
        <f aca="false">IFERROR(LARGE($AM$6:$AP$25,29),0)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381</v>
      </c>
      <c r="L31" s="44" t="s">
        <v>226</v>
      </c>
      <c r="T31" s="15" t="s">
        <v>233</v>
      </c>
      <c r="U31" s="15" t="n">
        <f aca="false">$U$28*$U$29*$U$30</f>
        <v>0</v>
      </c>
      <c r="BZ31" s="15" t="n">
        <f aca="false">IFERROR(LARGE($AH$6:$AK$25,30),0)</f>
        <v>0</v>
      </c>
      <c r="CA31" s="15" t="n">
        <f aca="false">CA30+BZ31</f>
        <v>0</v>
      </c>
      <c r="CB31" s="15" t="n">
        <f aca="false">IFERROR(LARGE($AM$6:$AP$25,30),0)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382</v>
      </c>
      <c r="L32" s="8" t="s">
        <v>229</v>
      </c>
      <c r="T32" s="15" t="s">
        <v>236</v>
      </c>
      <c r="U32" s="15" t="n">
        <f aca="false">IF($U$21&gt;=100,1,0)</f>
        <v>1</v>
      </c>
      <c r="BZ32" s="15" t="n">
        <f aca="false">IFERROR(LARGE($AH$6:$AK$25,31),0)</f>
        <v>0</v>
      </c>
      <c r="CA32" s="15" t="n">
        <f aca="false">CA31+BZ32</f>
        <v>0</v>
      </c>
      <c r="CB32" s="15" t="n">
        <f aca="false">IFERROR(LARGE($AM$6:$AP$25,31),0)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383</v>
      </c>
      <c r="L33" s="45" t="s">
        <v>232</v>
      </c>
      <c r="T33" s="15" t="s">
        <v>239</v>
      </c>
      <c r="U33" s="15" t="n">
        <f aca="false">IF(AND($U$22&gt;=$U$26,$U$23&gt;=1),1,0)</f>
        <v>1</v>
      </c>
      <c r="BZ33" s="15" t="n">
        <f aca="false">IFERROR(LARGE($AH$6:$AK$25,32),0)</f>
        <v>0</v>
      </c>
      <c r="CA33" s="15" t="n">
        <f aca="false">CA32+BZ33</f>
        <v>0</v>
      </c>
      <c r="CB33" s="15" t="n">
        <f aca="false">IFERROR(LARGE($AM$6:$AP$25,32),0)</f>
        <v>0</v>
      </c>
      <c r="CC33" s="15" t="n">
        <f aca="false">CC32+CB33</f>
        <v>0</v>
      </c>
    </row>
    <row r="34" customFormat="false" ht="15" hidden="false" customHeight="false" outlineLevel="0" collapsed="false">
      <c r="L34" s="46" t="s">
        <v>235</v>
      </c>
      <c r="T34" s="15" t="s">
        <v>240</v>
      </c>
      <c r="U34" s="15" t="n">
        <f aca="false">IF($U$24=0,1,0)</f>
        <v>1</v>
      </c>
      <c r="BZ34" s="15" t="n">
        <f aca="false">IFERROR(LARGE($AH$6:$AK$25,33),0)</f>
        <v>0</v>
      </c>
      <c r="CA34" s="15" t="n">
        <f aca="false">CA33+BZ34</f>
        <v>0</v>
      </c>
      <c r="CB34" s="15" t="n">
        <f aca="false">IFERROR(LARGE($AM$6:$AP$25,33),0)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8" t="s">
        <v>384</v>
      </c>
      <c r="L35" s="47" t="s">
        <v>238</v>
      </c>
      <c r="T35" s="15" t="s">
        <v>243</v>
      </c>
      <c r="U35" s="15" t="n">
        <f aca="false">$U$32*$U$33*$U$34</f>
        <v>1</v>
      </c>
      <c r="BZ35" s="15" t="n">
        <f aca="false">IFERROR(LARGE($AH$6:$AK$25,34),0)</f>
        <v>0</v>
      </c>
      <c r="CA35" s="15" t="n">
        <f aca="false">CA34+BZ35</f>
        <v>0</v>
      </c>
      <c r="CB35" s="15" t="n">
        <f aca="false">IFERROR(LARGE($AM$6:$AP$25,34),0)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49" t="s">
        <v>385</v>
      </c>
      <c r="T36" s="15" t="s">
        <v>246</v>
      </c>
      <c r="U36" s="15" t="n">
        <f aca="false">INDEX($DG$3:$DG$3,$U$13)+$U$27</f>
        <v>37</v>
      </c>
      <c r="BZ36" s="15" t="n">
        <f aca="false">IFERROR(LARGE($AH$6:$AK$25,35),0)</f>
        <v>0</v>
      </c>
      <c r="CA36" s="15" t="n">
        <f aca="false">CA35+BZ36</f>
        <v>0</v>
      </c>
      <c r="CB36" s="15" t="n">
        <f aca="false">IFERROR(LARGE($AM$6:$AP$25,35),0)</f>
        <v>0</v>
      </c>
      <c r="CC36" s="15" t="n">
        <f aca="false">CC35+CB36</f>
        <v>0</v>
      </c>
    </row>
    <row r="37" customFormat="false" ht="15" hidden="false" customHeight="false" outlineLevel="0" collapsed="false">
      <c r="L37" s="48" t="s">
        <v>242</v>
      </c>
      <c r="T37" s="15" t="s">
        <v>247</v>
      </c>
      <c r="U37" s="15" t="n">
        <f aca="false">IF($U$36=0,1,0)</f>
        <v>0</v>
      </c>
      <c r="BZ37" s="15" t="n">
        <f aca="false">IFERROR(LARGE($AH$6:$AK$25,36),0)</f>
        <v>0</v>
      </c>
      <c r="CA37" s="15" t="n">
        <f aca="false">CA36+BZ37</f>
        <v>0</v>
      </c>
      <c r="CB37" s="15" t="n">
        <f aca="false">IFERROR(LARGE($AM$6:$AP$25,36),0)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0" t="s">
        <v>386</v>
      </c>
      <c r="L38" s="48" t="s">
        <v>245</v>
      </c>
      <c r="T38" s="15" t="s">
        <v>249</v>
      </c>
      <c r="U38" s="15" t="n">
        <f aca="false">IF($U$37=1,INDEX($CQ$3:$CQ$3,$U$13),INDEX($CQ$23:$CQ$23,$U$14))</f>
        <v>280</v>
      </c>
      <c r="BZ38" s="15" t="n">
        <f aca="false">IFERROR(LARGE($AH$6:$AK$25,37),0)</f>
        <v>0</v>
      </c>
      <c r="CA38" s="15" t="n">
        <f aca="false">CA37+BZ38</f>
        <v>0</v>
      </c>
      <c r="CB38" s="15" t="n">
        <f aca="false">IFERROR(LARGE($AM$6:$AP$25,37),0)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1" t="s">
        <v>250</v>
      </c>
      <c r="T39" s="15" t="s">
        <v>251</v>
      </c>
      <c r="U39" s="15" t="n">
        <f aca="false">IF($U$37=1,INDEX($CK$3:$CK$3,$U$13),INDEX($CK$23:$CK$23,$U$14))</f>
        <v>32</v>
      </c>
      <c r="BZ39" s="15" t="n">
        <f aca="false">IFERROR(LARGE($AH$6:$AK$25,38),0)</f>
        <v>0</v>
      </c>
      <c r="CA39" s="15" t="n">
        <f aca="false">CA38+BZ39</f>
        <v>0</v>
      </c>
      <c r="CB39" s="15" t="n">
        <f aca="false">IFERROR(LARGE($AM$6:$AP$25,38),0)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252</v>
      </c>
      <c r="U40" s="15" t="n">
        <f aca="false">IF($U$37=1,INDEX($CR$3:$CR$3,$U$13),INDEX($CR$23:$CR$23,$U$14))</f>
        <v>0</v>
      </c>
      <c r="BZ40" s="15" t="n">
        <f aca="false">IFERROR(LARGE($AH$6:$AK$25,39),0)</f>
        <v>0</v>
      </c>
      <c r="CA40" s="15" t="n">
        <f aca="false">CA39+BZ40</f>
        <v>0</v>
      </c>
      <c r="CB40" s="15" t="n">
        <f aca="false">IFERROR(LARGE($AM$6:$AP$25,39),0)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253</v>
      </c>
      <c r="U41" s="15" t="n">
        <f aca="false">IF($U$37=1,INDEX($CS$3:$CS$3,$U$13),INDEX($CS$23:$CS$23,$U$14))</f>
        <v>6</v>
      </c>
      <c r="BZ41" s="15" t="n">
        <f aca="false">IFERROR(LARGE($AH$6:$AK$25,40),0)</f>
        <v>0</v>
      </c>
      <c r="CA41" s="15" t="n">
        <f aca="false">CA40+BZ41</f>
        <v>0</v>
      </c>
      <c r="CB41" s="15" t="n">
        <f aca="false">IFERROR(LARGE($AM$6:$AP$25,40),0)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254</v>
      </c>
      <c r="U42" s="15" t="n">
        <f aca="false">IF($U$37=1,INDEX($CT$3:$CT$3,$U$13),INDEX($CT$23:$CT$23,$U$14))</f>
        <v>0</v>
      </c>
      <c r="BZ42" s="15" t="n">
        <f aca="false">IFERROR(LARGE($AH$6:$AK$25,41),0)</f>
        <v>0</v>
      </c>
      <c r="CA42" s="15" t="n">
        <f aca="false">CA41+BZ42</f>
        <v>0</v>
      </c>
      <c r="CB42" s="15" t="n">
        <f aca="false">IFERROR(LARGE($AM$6:$AP$25,41),0)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255</v>
      </c>
      <c r="U43" s="15" t="n">
        <f aca="false">IF($U$37=1,INDEX($CL$3:$CL$3,$U$13),INDEX($CL$23:$CL$23,$U$14))</f>
        <v>112</v>
      </c>
      <c r="BZ43" s="15" t="n">
        <f aca="false">IFERROR(LARGE($AH$6:$AK$25,42),0)</f>
        <v>0</v>
      </c>
      <c r="CA43" s="15" t="n">
        <f aca="false">CA42+BZ43</f>
        <v>0</v>
      </c>
      <c r="CB43" s="15" t="n">
        <f aca="false">IFERROR(LARGE($AM$6:$AP$25,42),0)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256</v>
      </c>
      <c r="U44" s="15" t="n">
        <f aca="false">IF($U$37=1,INDEX($CU$3:$CU$3,$U$13),INDEX($CU$23:$CU$23,$U$14))</f>
        <v>168</v>
      </c>
      <c r="BZ44" s="15" t="n">
        <f aca="false">IFERROR(LARGE($AH$6:$AK$25,43),0)</f>
        <v>0</v>
      </c>
      <c r="CA44" s="15" t="n">
        <f aca="false">CA43+BZ44</f>
        <v>0</v>
      </c>
      <c r="CB44" s="15" t="n">
        <f aca="false">IFERROR(LARGE($AM$6:$AP$25,43),0)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257</v>
      </c>
      <c r="U45" s="15" t="n">
        <f aca="false">IF($U$37=1,INDEX($CP$3:$CP$3,$U$13),INDEX($CP$23:$CP$23,$U$14))</f>
        <v>40</v>
      </c>
      <c r="BZ45" s="15" t="n">
        <f aca="false">IFERROR(LARGE($AH$6:$AK$25,44),0)</f>
        <v>0</v>
      </c>
      <c r="CA45" s="15" t="n">
        <f aca="false">CA44+BZ45</f>
        <v>0</v>
      </c>
      <c r="CB45" s="15" t="n">
        <f aca="false">IFERROR(LARGE($AM$6:$AP$25,44),0)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258</v>
      </c>
      <c r="U46" s="15" t="n">
        <f aca="false">IF($U$37=1,INDEX($CO$3:$CO$3,$U$13),INDEX($CO$23:$CO$23,$U$14))</f>
        <v>280</v>
      </c>
      <c r="BZ46" s="15" t="n">
        <f aca="false">IFERROR(LARGE($AH$6:$AK$25,45),0)</f>
        <v>0</v>
      </c>
      <c r="CA46" s="15" t="n">
        <f aca="false">CA45+BZ46</f>
        <v>0</v>
      </c>
      <c r="CB46" s="15" t="n">
        <f aca="false">IFERROR(LARGE($AM$6:$AP$25,45),0)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259</v>
      </c>
      <c r="U47" s="15" t="n">
        <f aca="false">IF($U$37=1,INDEX($CH$3:$CH$3,$U$13),INDEX($CH$23:$CH$23,$U$14))</f>
        <v>0</v>
      </c>
      <c r="BZ47" s="15" t="n">
        <f aca="false">IFERROR(LARGE($AH$6:$AK$25,46),0)</f>
        <v>0</v>
      </c>
      <c r="CA47" s="15" t="n">
        <f aca="false">CA46+BZ47</f>
        <v>0</v>
      </c>
      <c r="CB47" s="15" t="n">
        <f aca="false">IFERROR(LARGE($AM$6:$AP$25,46),0)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260</v>
      </c>
      <c r="U48" s="15" t="n">
        <f aca="false">IF($U$37=1,INDEX($DF$3:$DF$3,$U$13),INDEX($DF$23:$DF$23,$U$14))</f>
        <v>1</v>
      </c>
      <c r="BZ48" s="15" t="n">
        <f aca="false">IFERROR(LARGE($AH$6:$AK$25,47),0)</f>
        <v>0</v>
      </c>
      <c r="CA48" s="15" t="n">
        <f aca="false">CA47+BZ48</f>
        <v>0</v>
      </c>
      <c r="CB48" s="15" t="n">
        <f aca="false">IFERROR(LARGE($AM$6:$AP$25,47),0)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261</v>
      </c>
      <c r="U49" s="15" t="n">
        <f aca="false">IF($U$37=1,INDEX($CV$3:$CV$3,$U$13),INDEX($CV$23:$CV$23,$U$14))</f>
        <v>1</v>
      </c>
      <c r="BZ49" s="15" t="n">
        <f aca="false">IFERROR(LARGE($AH$6:$AK$25,48),0)</f>
        <v>0</v>
      </c>
      <c r="CA49" s="15" t="n">
        <f aca="false">CA48+BZ49</f>
        <v>0</v>
      </c>
      <c r="CB49" s="15" t="n">
        <f aca="false">IFERROR(LARGE($AM$6:$AP$25,48),0)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262</v>
      </c>
      <c r="U50" s="15" t="n">
        <f aca="false">IF($U$37=1,INDEX($CW$3:$CW$3,$U$13),INDEX($CW$23:$CW$23,$U$14))</f>
        <v>1</v>
      </c>
      <c r="BZ50" s="15" t="n">
        <f aca="false">IFERROR(LARGE($AH$6:$AK$25,49),0)</f>
        <v>0</v>
      </c>
      <c r="CA50" s="15" t="n">
        <f aca="false">CA49+BZ50</f>
        <v>0</v>
      </c>
      <c r="CB50" s="15" t="n">
        <f aca="false">IFERROR(LARGE($AM$6:$AP$25,49),0)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263</v>
      </c>
      <c r="U51" s="15" t="n">
        <f aca="false">IF($U$37=1,INDEX($CX$3:$CX$3,$U$13),INDEX($CX$23:$CX$23,$U$14))</f>
        <v>1</v>
      </c>
      <c r="BZ51" s="15" t="n">
        <f aca="false">IFERROR(LARGE($AH$6:$AK$25,50),0)</f>
        <v>0</v>
      </c>
      <c r="CA51" s="15" t="n">
        <f aca="false">CA50+BZ51</f>
        <v>0</v>
      </c>
      <c r="CB51" s="15" t="n">
        <f aca="false">IFERROR(LARGE($AM$6:$AP$25,50),0)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264</v>
      </c>
      <c r="U52" s="15" t="n">
        <f aca="false">IF($U$37=1,INDEX($CY$3:$CY$3,$U$13),INDEX($CY$23:$CY$23,$U$14))</f>
        <v>1</v>
      </c>
      <c r="BZ52" s="15" t="n">
        <f aca="false">IFERROR(LARGE($AH$6:$AK$25,51),0)</f>
        <v>0</v>
      </c>
      <c r="CA52" s="15" t="n">
        <f aca="false">CA51+BZ52</f>
        <v>0</v>
      </c>
      <c r="CB52" s="15" t="n">
        <f aca="false">IFERROR(LARGE($AM$6:$AP$25,51),0)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265</v>
      </c>
      <c r="U53" s="15" t="n">
        <f aca="false">IF($U$37=1,INDEX($CZ$3:$CZ$3,$U$13),INDEX($CZ$23:$CZ$23,$U$14))</f>
        <v>1</v>
      </c>
      <c r="BZ53" s="15" t="n">
        <f aca="false">IFERROR(LARGE($AH$6:$AK$25,52),0)</f>
        <v>0</v>
      </c>
      <c r="CA53" s="15" t="n">
        <f aca="false">CA52+BZ53</f>
        <v>0</v>
      </c>
      <c r="CB53" s="15" t="n">
        <f aca="false">IFERROR(LARGE($AM$6:$AP$25,52),0)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266</v>
      </c>
      <c r="U54" s="15" t="n">
        <f aca="false">IF($U$37=1,INDEX($DA$3:$DA$3,$U$13),INDEX($DA$23:$DA$23,$U$14))</f>
        <v>1</v>
      </c>
      <c r="BZ54" s="15" t="n">
        <f aca="false">IFERROR(LARGE($AH$6:$AK$25,53),0)</f>
        <v>0</v>
      </c>
      <c r="CA54" s="15" t="n">
        <f aca="false">CA53+BZ54</f>
        <v>0</v>
      </c>
      <c r="CB54" s="15" t="n">
        <f aca="false">IFERROR(LARGE($AM$6:$AP$25,53),0)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267</v>
      </c>
      <c r="U55" s="15" t="n">
        <f aca="false">IF($U$37=1,INDEX($DB$3:$DB$3,$U$13),INDEX($DB$23:$DB$23,$U$14))</f>
        <v>1</v>
      </c>
      <c r="BZ55" s="15" t="n">
        <f aca="false">IFERROR(LARGE($AH$6:$AK$25,54),0)</f>
        <v>0</v>
      </c>
      <c r="CA55" s="15" t="n">
        <f aca="false">CA54+BZ55</f>
        <v>0</v>
      </c>
      <c r="CB55" s="15" t="n">
        <f aca="false">IFERROR(LARGE($AM$6:$AP$25,54),0)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268</v>
      </c>
      <c r="U56" s="15" t="n">
        <f aca="false">IF($U$37=1,INDEX($DC$3:$DC$3,$U$13),INDEX($DC$23:$DC$23,$U$14))</f>
        <v>1</v>
      </c>
      <c r="BZ56" s="15" t="n">
        <f aca="false">IFERROR(LARGE($AH$6:$AK$25,55),0)</f>
        <v>0</v>
      </c>
      <c r="CA56" s="15" t="n">
        <f aca="false">CA55+BZ56</f>
        <v>0</v>
      </c>
      <c r="CB56" s="15" t="n">
        <f aca="false">IFERROR(LARGE($AM$6:$AP$25,55),0)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269</v>
      </c>
      <c r="U57" s="15" t="n">
        <f aca="false">IF($U$37=1,INDEX($DD$3:$DD$3,$U$13),INDEX($DD$23:$DD$23,$U$14))</f>
        <v>1</v>
      </c>
      <c r="BZ57" s="15" t="n">
        <f aca="false">IFERROR(LARGE($AH$6:$AK$25,56),0)</f>
        <v>0</v>
      </c>
      <c r="CA57" s="15" t="n">
        <f aca="false">CA56+BZ57</f>
        <v>0</v>
      </c>
      <c r="CB57" s="15" t="n">
        <f aca="false">IFERROR(LARGE($AM$6:$AP$25,56),0)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270</v>
      </c>
      <c r="U58" s="15" t="n">
        <f aca="false">IF($U$37=1,INDEX($DE$3:$DE$3,$U$13),INDEX($DE$23:$DE$23,$U$14))</f>
        <v>1</v>
      </c>
    </row>
    <row r="59" customFormat="false" ht="15" hidden="false" customHeight="false" outlineLevel="0" collapsed="false">
      <c r="T59" s="15" t="s">
        <v>271</v>
      </c>
      <c r="U59" s="15" t="n">
        <f aca="false">IF($U$37=1,$U$13,$U$14)</f>
        <v>1</v>
      </c>
    </row>
    <row r="60" customFormat="false" ht="15" hidden="false" customHeight="false" outlineLevel="0" collapsed="false">
      <c r="T60" s="15" t="s">
        <v>272</v>
      </c>
      <c r="U60" s="15" t="n">
        <f aca="false">IF($U$37=1,$U$9,$V$9)</f>
        <v>0</v>
      </c>
    </row>
    <row r="61" customFormat="false" ht="15" hidden="false" customHeight="false" outlineLevel="0" collapsed="false">
      <c r="T61" s="15" t="s">
        <v>273</v>
      </c>
      <c r="U61" s="15" t="n">
        <f aca="false">IF($U$37=1,$U$16,$U$21)</f>
        <v>140</v>
      </c>
    </row>
    <row r="62" customFormat="false" ht="15" hidden="false" customHeight="false" outlineLevel="0" collapsed="false">
      <c r="T62" s="15" t="s">
        <v>274</v>
      </c>
      <c r="U62" s="15" t="n">
        <f aca="false">IF($U$37=1,$U$17,$U$22)</f>
        <v>5</v>
      </c>
    </row>
    <row r="63" customFormat="false" ht="15" hidden="false" customHeight="false" outlineLevel="0" collapsed="false">
      <c r="T63" s="15" t="s">
        <v>275</v>
      </c>
      <c r="U63" s="15" t="n">
        <f aca="false">IF($U$37=1,$U$28,$U$32)</f>
        <v>1</v>
      </c>
    </row>
    <row r="64" customFormat="false" ht="15" hidden="false" customHeight="false" outlineLevel="0" collapsed="false">
      <c r="T64" s="15" t="s">
        <v>276</v>
      </c>
      <c r="U64" s="15" t="n">
        <f aca="false">IF($U$37=1,$U$29,$U$33)</f>
        <v>1</v>
      </c>
    </row>
    <row r="65" customFormat="false" ht="15" hidden="false" customHeight="false" outlineLevel="0" collapsed="false">
      <c r="T65" s="15" t="s">
        <v>277</v>
      </c>
      <c r="U65" s="15" t="n">
        <f aca="false">IF($U$37=1,$U$30,$U$34)</f>
        <v>1</v>
      </c>
    </row>
    <row r="66" customFormat="false" ht="15" hidden="false" customHeight="false" outlineLevel="0" collapsed="false">
      <c r="T66" s="15" t="s">
        <v>278</v>
      </c>
      <c r="U66" s="15" t="n">
        <f aca="false">IF($U$37=1,$U$31,$U$35)</f>
        <v>1</v>
      </c>
    </row>
    <row r="67" customFormat="false" ht="15" hidden="false" customHeight="false" outlineLevel="0" collapsed="false">
      <c r="T67" s="15" t="s">
        <v>188</v>
      </c>
      <c r="U67" s="15" t="n">
        <f aca="false">$U$38+$U$61</f>
        <v>420</v>
      </c>
    </row>
    <row r="68" customFormat="false" ht="15" hidden="false" customHeight="false" outlineLevel="0" collapsed="false">
      <c r="T68" s="15" t="s">
        <v>279</v>
      </c>
      <c r="U68" s="15" t="n">
        <f aca="false">IF($U$67&gt;=300,1,0)</f>
        <v>1</v>
      </c>
    </row>
    <row r="69" customFormat="false" ht="15" hidden="false" customHeight="false" outlineLevel="0" collapsed="false">
      <c r="T69" s="15" t="s">
        <v>280</v>
      </c>
      <c r="U69" s="15" t="n">
        <f aca="false">IF($U$48*$U$66*$U$68=1,1,0)</f>
        <v>1</v>
      </c>
    </row>
    <row r="70" customFormat="false" ht="15" hidden="false" customHeight="false" outlineLevel="0" collapsed="false">
      <c r="T70" s="0" t="s">
        <v>281</v>
      </c>
      <c r="U70" s="0" t="n">
        <f aca="false">IF($U$67&lt;300,"",MAX(10,MIN(40,INT((1020-$U$67)/18))))</f>
        <v>33</v>
      </c>
    </row>
    <row r="71" customFormat="false" ht="15" hidden="false" customHeight="false" outlineLevel="0" collapsed="false">
      <c r="T71" s="0" t="s">
        <v>282</v>
      </c>
      <c r="U71" s="0" t="n">
        <f aca="false">IF($U$70="",MAX(0,300-$U$67),IF($U$70&gt;10,1021-18*$U$70-$U$67,""))</f>
        <v>7</v>
      </c>
    </row>
    <row r="72" customFormat="false" ht="15" hidden="false" customHeight="false" outlineLevel="0" collapsed="false">
      <c r="T72" s="0" t="s">
        <v>283</v>
      </c>
      <c r="U72" s="0" t="n">
        <f aca="false">IF($U$70="","",$U$67-IF($U$70&gt;=40,300,1020-18*($U$70+1)+1))</f>
        <v>11</v>
      </c>
    </row>
  </sheetData>
  <sheetProtection sheet="true" formatCells="false" formatColumns="false" formatRows="false"/>
  <mergeCells count="1">
    <mergeCell ref="M6:N6"/>
  </mergeCells>
  <conditionalFormatting sqref="E6:H25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10">
    <cfRule type="expression" priority="5" aboveAverage="0" equalAverage="0" bottom="0" percent="0" rank="0" text="" dxfId="3">
      <formula>AND(ISNUMBER(I6),I6&lt;5)</formula>
    </cfRule>
  </conditionalFormatting>
  <conditionalFormatting sqref="M19:M29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2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8 E9:I10 E12:H25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2:D25" type="list">
      <formula1>"x"</formula1>
      <formula2>0</formula2>
    </dataValidation>
  </dataValidations>
  <hyperlinks>
    <hyperlink ref="B36" r:id="rId2" display="https://www.rv.hessenrecht.hessen.de/bshe/document/hevr-OSt_AbiVHEV14IVZ"/>
    <hyperlink ref="B38" r:id="rId3" display="Online-Rechner Hessen mit Statistik und PDF-Download: https://www.abi-rechner.com/bundeslander/hessen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Hessen · abi-rechner.com · Stand September 2026</oddFooter>
  </headerFooter>
  <legacy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387</v>
      </c>
      <c r="T1" s="15" t="s">
        <v>72</v>
      </c>
      <c r="BZ1" s="15" t="s">
        <v>73</v>
      </c>
      <c r="CA1" s="15" t="s">
        <v>74</v>
      </c>
      <c r="CB1" s="15" t="s">
        <v>75</v>
      </c>
      <c r="CC1" s="15" t="s">
        <v>76</v>
      </c>
    </row>
    <row r="2" customFormat="false" ht="15" hidden="false" customHeight="false" outlineLevel="0" collapsed="false">
      <c r="B2" s="2" t="s">
        <v>388</v>
      </c>
      <c r="T2" s="15" t="s">
        <v>78</v>
      </c>
      <c r="U2" s="15" t="n">
        <f aca="false">IFERROR(AVERAGE($E$6:$H$25),7)</f>
        <v>7</v>
      </c>
      <c r="BZ2" s="15" t="n">
        <f aca="false">IFERROR(LARGE($AH$6:$AK$25,1),0)</f>
        <v>0</v>
      </c>
      <c r="CA2" s="15" t="n">
        <f aca="false">BZ2</f>
        <v>0</v>
      </c>
      <c r="CB2" s="15" t="n">
        <f aca="false">IFERROR(LARGE($AM$6:$AP$25,1),0)</f>
        <v>0</v>
      </c>
      <c r="CC2" s="15" t="n">
        <f aca="false">CB2</f>
        <v>0</v>
      </c>
      <c r="CE2" s="15" t="s">
        <v>79</v>
      </c>
      <c r="CF2" s="15" t="s">
        <v>80</v>
      </c>
      <c r="CG2" s="15" t="s">
        <v>81</v>
      </c>
      <c r="CH2" s="15" t="s">
        <v>82</v>
      </c>
      <c r="CI2" s="15" t="s">
        <v>83</v>
      </c>
      <c r="CJ2" s="15" t="s">
        <v>84</v>
      </c>
      <c r="CK2" s="15" t="s">
        <v>85</v>
      </c>
      <c r="CL2" s="15" t="s">
        <v>86</v>
      </c>
      <c r="CM2" s="15" t="s">
        <v>87</v>
      </c>
      <c r="CN2" s="15" t="s">
        <v>88</v>
      </c>
      <c r="CO2" s="15" t="s">
        <v>89</v>
      </c>
      <c r="CP2" s="15" t="s">
        <v>90</v>
      </c>
      <c r="CQ2" s="15" t="s">
        <v>91</v>
      </c>
      <c r="CR2" s="15" t="s">
        <v>92</v>
      </c>
      <c r="CS2" s="15" t="s">
        <v>93</v>
      </c>
      <c r="CT2" s="15" t="s">
        <v>94</v>
      </c>
      <c r="CU2" s="15" t="s">
        <v>95</v>
      </c>
      <c r="CV2" s="15" t="s">
        <v>96</v>
      </c>
      <c r="CW2" s="15" t="s">
        <v>97</v>
      </c>
      <c r="CX2" s="15" t="s">
        <v>98</v>
      </c>
      <c r="CY2" s="15" t="s">
        <v>99</v>
      </c>
      <c r="CZ2" s="15" t="s">
        <v>100</v>
      </c>
      <c r="DA2" s="15" t="s">
        <v>101</v>
      </c>
      <c r="DB2" s="15" t="s">
        <v>102</v>
      </c>
      <c r="DC2" s="15" t="s">
        <v>103</v>
      </c>
      <c r="DD2" s="15" t="s">
        <v>104</v>
      </c>
      <c r="DE2" s="15" t="s">
        <v>105</v>
      </c>
      <c r="DF2" s="15" t="s">
        <v>106</v>
      </c>
      <c r="DG2" s="15" t="s">
        <v>107</v>
      </c>
      <c r="DH2" s="15" t="s">
        <v>108</v>
      </c>
    </row>
    <row r="3" customFormat="false" ht="15" hidden="false" customHeight="false" outlineLevel="0" collapsed="false">
      <c r="B3" s="16" t="s">
        <v>109</v>
      </c>
      <c r="T3" s="15" t="s">
        <v>110</v>
      </c>
      <c r="U3" s="15" t="n">
        <f aca="false">IFERROR(AVERAGE($I$6:$I$10),$U$2)</f>
        <v>7</v>
      </c>
      <c r="BZ3" s="15" t="n">
        <f aca="false">IFERROR(LARGE($AH$6:$AK$25,2),0)</f>
        <v>0</v>
      </c>
      <c r="CA3" s="15" t="n">
        <f aca="false">CA2+BZ3</f>
        <v>0</v>
      </c>
      <c r="CB3" s="15" t="n">
        <f aca="false">IFERROR(LARGE($AM$6:$AP$25,2),0)</f>
        <v>0</v>
      </c>
      <c r="CC3" s="15" t="n">
        <f aca="false">CC2+CB3</f>
        <v>0</v>
      </c>
      <c r="CE3" s="15" t="n">
        <f aca="false">36</f>
        <v>36</v>
      </c>
      <c r="CF3" s="15" t="n">
        <f aca="false">CE3-$U$5-$U$6-0</f>
        <v>16</v>
      </c>
      <c r="CG3" s="15" t="n">
        <f aca="false">MAX(0,CF3)</f>
        <v>16</v>
      </c>
      <c r="CH3" s="15" t="n">
        <f aca="false">MIN(CG3,$U$7)</f>
        <v>0</v>
      </c>
      <c r="CI3" s="15" t="n">
        <f aca="false">CG3-CH3</f>
        <v>16</v>
      </c>
      <c r="CJ3" s="15" t="n">
        <f aca="false">0</f>
        <v>0</v>
      </c>
      <c r="CK3" s="15" t="n">
        <f aca="false">$U$5+CH3+CJ3</f>
        <v>0</v>
      </c>
      <c r="CL3" s="15" t="n">
        <f aca="false">2*AW6+2*AX6+2*AW7+2*AX7</f>
        <v>0</v>
      </c>
      <c r="CM3" s="15" t="n">
        <f aca="false">2*AY6+2*AZ6+2*AY7+2*AZ7+1*AY8+1*AZ8+1*AY9+1*AZ9+1*AY10+1*AZ10+SUM($AA$12:$AA$25)</f>
        <v>0</v>
      </c>
      <c r="CN3" s="15" t="n">
        <f aca="false">IF(CH3=0,0,INDEX($CA$2:$CA$57,CH3))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IF(CP3&gt;0,MIN(600,INT((CO3/CP3*40)+0.5+0.000000001)),0)</f>
        <v>0</v>
      </c>
      <c r="CR3" s="15" t="n">
        <f aca="false">$U$9+CT3</f>
        <v>0</v>
      </c>
      <c r="CS3" s="15" t="n">
        <f aca="false">7</f>
        <v>7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1</f>
        <v>1</v>
      </c>
      <c r="CY3" s="15" t="n">
        <f aca="false">1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36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111</v>
      </c>
      <c r="U4" s="15" t="n">
        <f aca="false">IF(COUNT($E$6:$H$25,$I$6:$I$10)&gt;0,1,0)</f>
        <v>0</v>
      </c>
      <c r="BZ4" s="15" t="n">
        <f aca="false">IFERROR(LARGE($AH$6:$AK$25,3),0)</f>
        <v>0</v>
      </c>
      <c r="CA4" s="15" t="n">
        <f aca="false">CA3+BZ4</f>
        <v>0</v>
      </c>
      <c r="CB4" s="15" t="n">
        <f aca="false">IFERROR(LARGE($AM$6:$AP$25,3),0)</f>
        <v>0</v>
      </c>
      <c r="CC4" s="15" t="n">
        <f aca="false">CC3+CB4</f>
        <v>0</v>
      </c>
    </row>
    <row r="5" customFormat="false" ht="30" hidden="false" customHeight="true" outlineLevel="0" collapsed="false">
      <c r="B5" s="17" t="s">
        <v>9</v>
      </c>
      <c r="C5" s="17" t="s">
        <v>112</v>
      </c>
      <c r="D5" s="18"/>
      <c r="E5" s="18" t="s">
        <v>113</v>
      </c>
      <c r="F5" s="18" t="s">
        <v>114</v>
      </c>
      <c r="G5" s="18" t="s">
        <v>115</v>
      </c>
      <c r="H5" s="18" t="s">
        <v>116</v>
      </c>
      <c r="I5" s="18" t="s">
        <v>11</v>
      </c>
      <c r="J5" s="18" t="s">
        <v>117</v>
      </c>
      <c r="L5" s="19" t="s">
        <v>118</v>
      </c>
      <c r="M5" s="20"/>
      <c r="N5" s="20"/>
      <c r="T5" s="15" t="s">
        <v>119</v>
      </c>
      <c r="U5" s="15" t="n">
        <f aca="false">AY6+AY7+AY8+AY9+AY10+AZ6+AZ7+AZ8+AZ9+AZ10+SUM($AA$12:$AA$25)</f>
        <v>0</v>
      </c>
      <c r="V5" s="15" t="n">
        <f aca="false">BG6+BG7+BG8+BG9+BG10+BH6+BH7+BH8+BH9+BH10+SUM($AE$12:$AE$25)</f>
        <v>20</v>
      </c>
      <c r="AH5" s="15" t="s">
        <v>120</v>
      </c>
      <c r="AM5" s="15" t="s">
        <v>121</v>
      </c>
      <c r="AR5" s="15" t="s">
        <v>122</v>
      </c>
      <c r="AW5" s="15" t="s">
        <v>123</v>
      </c>
      <c r="AX5" s="15" t="s">
        <v>124</v>
      </c>
      <c r="AY5" s="15" t="s">
        <v>125</v>
      </c>
      <c r="AZ5" s="15" t="s">
        <v>126</v>
      </c>
      <c r="BA5" s="15" t="s">
        <v>127</v>
      </c>
      <c r="BB5" s="15" t="s">
        <v>128</v>
      </c>
      <c r="BC5" s="15" t="s">
        <v>129</v>
      </c>
      <c r="BD5" s="15" t="s">
        <v>130</v>
      </c>
      <c r="BE5" s="15" t="s">
        <v>131</v>
      </c>
      <c r="BF5" s="15" t="s">
        <v>132</v>
      </c>
      <c r="BG5" s="15" t="s">
        <v>133</v>
      </c>
      <c r="BH5" s="15" t="s">
        <v>134</v>
      </c>
      <c r="BI5" s="15" t="s">
        <v>135</v>
      </c>
      <c r="BJ5" s="15" t="s">
        <v>136</v>
      </c>
      <c r="BK5" s="15" t="s">
        <v>137</v>
      </c>
      <c r="BL5" s="15" t="s">
        <v>138</v>
      </c>
      <c r="BN5" s="15" t="s">
        <v>139</v>
      </c>
      <c r="BO5" s="15" t="s">
        <v>140</v>
      </c>
      <c r="BP5" s="15" t="s">
        <v>141</v>
      </c>
      <c r="BQ5" s="15" t="s">
        <v>128</v>
      </c>
      <c r="BR5" s="15" t="s">
        <v>142</v>
      </c>
      <c r="BT5" s="15" t="s">
        <v>143</v>
      </c>
      <c r="BU5" s="15" t="s">
        <v>144</v>
      </c>
      <c r="BV5" s="15" t="s">
        <v>145</v>
      </c>
      <c r="BW5" s="15" t="s">
        <v>136</v>
      </c>
      <c r="BX5" s="15" t="s">
        <v>146</v>
      </c>
      <c r="BZ5" s="15" t="n">
        <f aca="false">IFERROR(LARGE($AH$6:$AK$25,4),0)</f>
        <v>0</v>
      </c>
      <c r="CA5" s="15" t="n">
        <f aca="false">CA4+BZ5</f>
        <v>0</v>
      </c>
      <c r="CB5" s="15" t="n">
        <f aca="false">IFERROR(LARGE($AM$6:$AP$25,4),0)</f>
        <v>0</v>
      </c>
      <c r="CC5" s="15" t="n">
        <f aca="false">CC4+CB5</f>
        <v>0</v>
      </c>
    </row>
    <row r="6" customFormat="false" ht="39.75" hidden="false" customHeight="true" outlineLevel="0" collapsed="false">
      <c r="B6" s="21" t="s">
        <v>315</v>
      </c>
      <c r="C6" s="22"/>
      <c r="D6" s="23" t="s">
        <v>148</v>
      </c>
      <c r="E6" s="24"/>
      <c r="F6" s="24"/>
      <c r="G6" s="24"/>
      <c r="H6" s="24"/>
      <c r="I6" s="25"/>
      <c r="J6" s="24"/>
      <c r="L6" s="26" t="s">
        <v>149</v>
      </c>
      <c r="M6" s="27" t="str">
        <f aca="false">IF($U$4=0,"Noch keine Eingaben – trag deine Punkte in die gelben Felder ein.",IF($U$35=1,"Endergebnis (alle Felder ausgefüllt)","Prognose: "&amp;$U$34&amp;" Felder offen, gefüllt mit deinem Schnitt von "&amp;FIXED($U$2,1)&amp;" Punkten"))</f>
        <v>Noch keine Eingaben – trag deine Punkte in die gelben Felder ein.</v>
      </c>
      <c r="N6" s="27"/>
      <c r="T6" s="15" t="s">
        <v>150</v>
      </c>
      <c r="U6" s="15" t="n">
        <f aca="false">BC6+BC7+BC8+BC9+BC10</f>
        <v>20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IF(BN6="","",IF(ISNUMBER($J$6),INT(((2*BN6+$J$6)/3*$U$15)+0.5+0.000000001),BN6*$U$15))</f>
        <v/>
      </c>
      <c r="BP6" s="15" t="n">
        <f aca="false">IF(BO6="",0,IF(BO6&gt;=5*$U$15-0.000000001,1,0))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IF(BT6="","",IF(ISNUMBER($J$6),INT(((2*BT6+$J$6)/3*$U$15)+0.5+0.000000001),BT6*$U$15))</f>
        <v>28</v>
      </c>
      <c r="BV6" s="15" t="n">
        <f aca="false">IF(BU6="",0,IF(BU6&gt;=5*$U$15-0.000000001,1,0))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IFERROR(LARGE($AH$6:$AK$25,5),0)</f>
        <v>0</v>
      </c>
      <c r="CA6" s="15" t="n">
        <f aca="false">CA5+BZ6</f>
        <v>0</v>
      </c>
      <c r="CB6" s="15" t="n">
        <f aca="false">IFERROR(LARGE($AM$6:$AP$25,5),0)</f>
        <v>0</v>
      </c>
      <c r="CC6" s="15" t="n">
        <f aca="false">CC5+CB6</f>
        <v>0</v>
      </c>
    </row>
    <row r="7" customFormat="false" ht="37.5" hidden="false" customHeight="true" outlineLevel="0" collapsed="false">
      <c r="B7" s="21" t="s">
        <v>316</v>
      </c>
      <c r="C7" s="22"/>
      <c r="D7" s="23" t="s">
        <v>148</v>
      </c>
      <c r="E7" s="24"/>
      <c r="F7" s="24"/>
      <c r="G7" s="24"/>
      <c r="H7" s="24"/>
      <c r="I7" s="25"/>
      <c r="J7" s="24"/>
      <c r="L7" s="26" t="s">
        <v>152</v>
      </c>
      <c r="M7" s="28" t="str">
        <f aca="false">IF($U$4=0,"",$U$36)</f>
        <v/>
      </c>
      <c r="N7" s="29" t="s">
        <v>153</v>
      </c>
      <c r="T7" s="15" t="s">
        <v>154</v>
      </c>
      <c r="U7" s="15" t="n">
        <f aca="false">COUNT($AH$6:$AK$25)</f>
        <v>0</v>
      </c>
      <c r="V7" s="15" t="n">
        <f aca="false">COUNT($AM$6:$AP$25)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IF(BN7="","",IF(ISNUMBER($J$7),INT(((2*BN7+$J$7)/3*$U$15)+0.5+0.000000001),BN7*$U$15))</f>
        <v/>
      </c>
      <c r="BP7" s="15" t="n">
        <f aca="false">IF(BO7="",0,IF(BO7&gt;=5*$U$15-0.000000001,1,0))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IF(BT7="","",IF(ISNUMBER($J$7),INT(((2*BT7+$J$7)/3*$U$15)+0.5+0.000000001),BT7*$U$15))</f>
        <v>28</v>
      </c>
      <c r="BV7" s="15" t="n">
        <f aca="false">IF(BU7="",0,IF(BU7&gt;=5*$U$15-0.000000001,1,0))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IFERROR(LARGE($AH$6:$AK$25,6),0)</f>
        <v>0</v>
      </c>
      <c r="CA7" s="15" t="n">
        <f aca="false">CA6+BZ7</f>
        <v>0</v>
      </c>
      <c r="CB7" s="15" t="n">
        <f aca="false">IFERROR(LARGE($AM$6:$AP$25,6),0)</f>
        <v>0</v>
      </c>
      <c r="CC7" s="15" t="n">
        <f aca="false">CC6+CB7</f>
        <v>0</v>
      </c>
    </row>
    <row r="8" customFormat="false" ht="37.5" hidden="false" customHeight="true" outlineLevel="0" collapsed="false">
      <c r="B8" s="21" t="s">
        <v>317</v>
      </c>
      <c r="C8" s="22"/>
      <c r="D8" s="23" t="s">
        <v>148</v>
      </c>
      <c r="E8" s="24"/>
      <c r="F8" s="24"/>
      <c r="G8" s="24"/>
      <c r="H8" s="24"/>
      <c r="I8" s="25"/>
      <c r="J8" s="24"/>
      <c r="L8" s="26" t="s">
        <v>156</v>
      </c>
      <c r="M8" s="28" t="str">
        <f aca="false">IF($U$4=0,"",$U$59)</f>
        <v/>
      </c>
      <c r="N8" s="29" t="s">
        <v>157</v>
      </c>
      <c r="T8" s="15" t="s">
        <v>158</v>
      </c>
      <c r="U8" s="15" t="n">
        <f aca="false">COUNTIF($AH$6:$AK$25,"&gt;=5")</f>
        <v>0</v>
      </c>
      <c r="V8" s="15" t="n">
        <f aca="false">COUNTIF($AM$6:$AP$25,"&gt;=5")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IF(BN8="","",IF(ISNUMBER($J$8),INT(((2*BN8+$J$8)/3*$U$15)+0.5+0.000000001),BN8*$U$15))</f>
        <v/>
      </c>
      <c r="BP8" s="15" t="n">
        <f aca="false">IF(BO8="",0,IF(BO8&gt;=5*$U$15-0.000000001,1,0))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IF(BT8="","",IF(ISNUMBER($J$8),INT(((2*BT8+$J$8)/3*$U$15)+0.5+0.000000001),BT8*$U$15))</f>
        <v>28</v>
      </c>
      <c r="BV8" s="15" t="n">
        <f aca="false">IF(BU8="",0,IF(BU8&gt;=5*$U$15-0.000000001,1,0))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IFERROR(LARGE($AH$6:$AK$25,7),0)</f>
        <v>0</v>
      </c>
      <c r="CA8" s="15" t="n">
        <f aca="false">CA7+BZ8</f>
        <v>0</v>
      </c>
      <c r="CB8" s="15" t="n">
        <f aca="false">IFERROR(LARGE($AM$6:$AP$25,7),0)</f>
        <v>0</v>
      </c>
      <c r="CC8" s="15" t="n">
        <f aca="false">CC7+CB8</f>
        <v>0</v>
      </c>
    </row>
    <row r="9" customFormat="false" ht="37.5" hidden="false" customHeight="true" outlineLevel="0" collapsed="false">
      <c r="B9" s="21" t="s">
        <v>318</v>
      </c>
      <c r="C9" s="22"/>
      <c r="D9" s="23" t="s">
        <v>148</v>
      </c>
      <c r="E9" s="24"/>
      <c r="F9" s="24"/>
      <c r="G9" s="24"/>
      <c r="H9" s="24"/>
      <c r="I9" s="25"/>
      <c r="J9" s="30" t="s">
        <v>160</v>
      </c>
      <c r="L9" s="31" t="s">
        <v>161</v>
      </c>
      <c r="M9" s="32" t="str">
        <f aca="false">IF($U$4=0,"",$U$64)</f>
        <v/>
      </c>
      <c r="N9" s="29" t="s">
        <v>162</v>
      </c>
      <c r="T9" s="15" t="s">
        <v>163</v>
      </c>
      <c r="U9" s="15" t="n">
        <f aca="false">BA6+BA7</f>
        <v>0</v>
      </c>
      <c r="V9" s="15" t="n">
        <f aca="false">BI6+BI7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IF(BN9="","",BN9*$U$15)</f>
        <v/>
      </c>
      <c r="BP9" s="15" t="n">
        <f aca="false">IF(BO9="",0,IF(BO9&gt;=5*$U$15-0.000000001,1,0))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IF(BT9="","",BT9*$U$15)</f>
        <v>28</v>
      </c>
      <c r="BV9" s="15" t="n">
        <f aca="false">IF(BU9="",0,IF(BU9&gt;=5*$U$15-0.000000001,1,0))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IFERROR(LARGE($AH$6:$AK$25,8),0)</f>
        <v>0</v>
      </c>
      <c r="CA9" s="15" t="n">
        <f aca="false">CA8+BZ9</f>
        <v>0</v>
      </c>
      <c r="CB9" s="15" t="n">
        <f aca="false">IFERROR(LARGE($AM$6:$AP$25,8),0)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21" t="s">
        <v>389</v>
      </c>
      <c r="C10" s="22"/>
      <c r="D10" s="23" t="s">
        <v>148</v>
      </c>
      <c r="E10" s="24"/>
      <c r="F10" s="24"/>
      <c r="G10" s="24"/>
      <c r="H10" s="24"/>
      <c r="I10" s="25"/>
      <c r="J10" s="30" t="s">
        <v>160</v>
      </c>
      <c r="L10" s="31" t="s">
        <v>165</v>
      </c>
      <c r="M10" s="33" t="str">
        <f aca="false">IF($U$4=0,"",IF($U$66=1,$U$67/10,"nicht bestanden"))</f>
        <v/>
      </c>
      <c r="N10" s="29"/>
      <c r="T10" s="15" t="s">
        <v>166</v>
      </c>
      <c r="U10" s="15" t="n">
        <f aca="false">BA8+BA9+BA10+SUM($AB$12:$AB$25)</f>
        <v>0</v>
      </c>
      <c r="V10" s="15" t="n">
        <f aca="false">BI8+BI9+BI10+SUM($AF$12:$AF$25)</f>
        <v>0</v>
      </c>
      <c r="AR10" s="15" t="n">
        <f aca="false">IF(ISNUMBER(E10),1,0)</f>
        <v>0</v>
      </c>
      <c r="AS10" s="15" t="n">
        <f aca="false">IF(ISNUMBER(F10),1,0)</f>
        <v>0</v>
      </c>
      <c r="AT10" s="15" t="n">
        <f aca="false">IF(ISNUMBER(G10),1,0)</f>
        <v>0</v>
      </c>
      <c r="AU10" s="15" t="n">
        <f aca="false">IF(ISNUMBER(H10),1,0)</f>
        <v>0</v>
      </c>
      <c r="AW10" s="15" t="n">
        <f aca="false">SUM(E10:G10)</f>
        <v>0</v>
      </c>
      <c r="AX10" s="15" t="n">
        <f aca="false">SUM(H10:H10)</f>
        <v>0</v>
      </c>
      <c r="AY10" s="15" t="n">
        <f aca="false">COUNT(E10:G10)</f>
        <v>0</v>
      </c>
      <c r="AZ10" s="15" t="n">
        <f aca="false">COUNT(H10:H10)</f>
        <v>0</v>
      </c>
      <c r="BA10" s="15" t="n">
        <f aca="false">COUNTIF(E10:H10,"&lt;5")</f>
        <v>0</v>
      </c>
      <c r="BB10" s="15" t="n">
        <f aca="false">COUNTIF(E10:H10,0)</f>
        <v>0</v>
      </c>
      <c r="BC10" s="15" t="n">
        <f aca="false">4-COUNT(E10:H10)</f>
        <v>4</v>
      </c>
      <c r="BD10" s="15" t="n">
        <f aca="false">SUM(E10:H10)</f>
        <v>0</v>
      </c>
      <c r="BE10" s="15" t="n">
        <f aca="false">SUM(E10:G10)+$U$2*(3-COUNT(E10:G10))</f>
        <v>21</v>
      </c>
      <c r="BF10" s="15" t="n">
        <f aca="false">SUM(H10:H10)+$U$2*(1-COUNT(H10:H10))</f>
        <v>7</v>
      </c>
      <c r="BG10" s="15" t="n">
        <f aca="false">3</f>
        <v>3</v>
      </c>
      <c r="BH10" s="15" t="n">
        <f aca="false">1</f>
        <v>1</v>
      </c>
      <c r="BI10" s="15" t="n">
        <f aca="false">COUNTIF(E10:H10,"&lt;5")+IF($U$2&lt;5,1,0)*(4-COUNT(E10:H10))</f>
        <v>0</v>
      </c>
      <c r="BJ10" s="15" t="n">
        <f aca="false">COUNTIF(E10:H10,0)</f>
        <v>0</v>
      </c>
      <c r="BK10" s="15" t="n">
        <f aca="false">0</f>
        <v>0</v>
      </c>
      <c r="BL10" s="15" t="n">
        <f aca="false">SUM(E10:H10)+$U$2*(4-COUNT(E10:H10))</f>
        <v>28</v>
      </c>
      <c r="BN10" s="15" t="str">
        <f aca="false">IF(ISNUMBER($I$10),$I$10,"")</f>
        <v/>
      </c>
      <c r="BO10" s="15" t="str">
        <f aca="false">IF(BN10="","",BN10*$U$15)</f>
        <v/>
      </c>
      <c r="BP10" s="15" t="n">
        <f aca="false">IF(BO10="",0,IF(BO10&gt;=5*$U$15-0.000000001,1,0))</f>
        <v>0</v>
      </c>
      <c r="BQ10" s="15" t="n">
        <f aca="false">IF(BO10="",0,IF(BO10&lt;0.000000001,1,0))</f>
        <v>0</v>
      </c>
      <c r="BR10" s="15" t="n">
        <f aca="false">0</f>
        <v>0</v>
      </c>
      <c r="BT10" s="15" t="n">
        <f aca="false">IF(ISNUMBER($I$10),$I$10,$U$3)</f>
        <v>7</v>
      </c>
      <c r="BU10" s="15" t="n">
        <f aca="false">IF(BT10="","",BT10*$U$15)</f>
        <v>28</v>
      </c>
      <c r="BV10" s="15" t="n">
        <f aca="false">IF(BU10="",0,IF(BU10&gt;=5*$U$15-0.000000001,1,0))</f>
        <v>1</v>
      </c>
      <c r="BW10" s="15" t="n">
        <f aca="false">IF(BU10="",0,IF(BU10&lt;0.000000001,1,0))</f>
        <v>0</v>
      </c>
      <c r="BX10" s="15" t="n">
        <f aca="false">0</f>
        <v>0</v>
      </c>
      <c r="BZ10" s="15" t="n">
        <f aca="false">IFERROR(LARGE($AH$6:$AK$25,9),0)</f>
        <v>0</v>
      </c>
      <c r="CA10" s="15" t="n">
        <f aca="false">CA9+BZ10</f>
        <v>0</v>
      </c>
      <c r="CB10" s="15" t="n">
        <f aca="false">IFERROR(LARGE($AM$6:$AP$25,9),0)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6" t="s">
        <v>167</v>
      </c>
      <c r="C11" s="6" t="s">
        <v>112</v>
      </c>
      <c r="D11" s="34" t="s">
        <v>168</v>
      </c>
      <c r="E11" s="35" t="s">
        <v>113</v>
      </c>
      <c r="F11" s="35" t="s">
        <v>114</v>
      </c>
      <c r="G11" s="35" t="s">
        <v>115</v>
      </c>
      <c r="H11" s="35" t="s">
        <v>116</v>
      </c>
      <c r="I11" s="20"/>
      <c r="J11" s="20"/>
      <c r="L11" s="26" t="s">
        <v>169</v>
      </c>
      <c r="M11" s="28" t="str">
        <f aca="false">IF($U$4=0,"",IF($U$68="","–",$U$68))</f>
        <v/>
      </c>
      <c r="N11" s="29" t="str">
        <f aca="false">IF($U$4=0,"",IF($U$67="","Punkte bis 300",IF($U$68="","Bestnote erreicht","Punkte → "&amp;FIXED(($U$67-1)/10,1))))</f>
        <v/>
      </c>
      <c r="T11" s="15" t="s">
        <v>170</v>
      </c>
      <c r="U11" s="15" t="n">
        <f aca="false">AW8+AW9+AW10+AX8+AX9+AX10+SUM($Z$12:$Z$25)</f>
        <v>0</v>
      </c>
      <c r="V11" s="15" t="n">
        <f aca="false">BE8+BE9+BE10+BF8+BF9+BF10+SUM($AD$12:$AD$25)</f>
        <v>84</v>
      </c>
      <c r="X11" s="15" t="s">
        <v>171</v>
      </c>
      <c r="Y11" s="15" t="s">
        <v>172</v>
      </c>
      <c r="Z11" s="15" t="s">
        <v>173</v>
      </c>
      <c r="AA11" s="15" t="s">
        <v>174</v>
      </c>
      <c r="AB11" s="15" t="s">
        <v>127</v>
      </c>
      <c r="AC11" s="15" t="s">
        <v>128</v>
      </c>
      <c r="AD11" s="15" t="s">
        <v>175</v>
      </c>
      <c r="AE11" s="15" t="s">
        <v>176</v>
      </c>
      <c r="AF11" s="15" t="s">
        <v>135</v>
      </c>
      <c r="BZ11" s="15" t="n">
        <f aca="false">IFERROR(LARGE($AH$6:$AK$25,10),0)</f>
        <v>0</v>
      </c>
      <c r="CA11" s="15" t="n">
        <f aca="false">CA10+BZ11</f>
        <v>0</v>
      </c>
      <c r="CB11" s="15" t="n">
        <f aca="false">IFERROR(LARGE($AM$6:$AP$25,10),0)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6" t="s">
        <v>177</v>
      </c>
      <c r="C12" s="37"/>
      <c r="D12" s="38"/>
      <c r="E12" s="24"/>
      <c r="F12" s="24"/>
      <c r="G12" s="24"/>
      <c r="H12" s="24"/>
      <c r="I12" s="39"/>
      <c r="J12" s="39"/>
      <c r="L12" s="26" t="s">
        <v>178</v>
      </c>
      <c r="M12" s="28" t="str">
        <f aca="false">IF(OR($U$4=0,$U$69=""),"",$U$69)</f>
        <v/>
      </c>
      <c r="N12" s="29" t="str">
        <f aca="false">IF(OR($U$4=0,$U$69=""),"","Punkte Luft")</f>
        <v/>
      </c>
      <c r="T12" s="15" t="s">
        <v>179</v>
      </c>
      <c r="U12" s="15" t="n">
        <f aca="false">BB6+BB7+BB8+BB9+BB10+SUM($AC$12:$AC$25)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IF(Y12=1,IF(ISNUMBER(E12),1,0),IF(AH12="",0,IF(IF($U$35=1,COUNTIF($AH$6:$AK$25,"&gt;"&amp;AH12),COUNTIF($AM$6:$AP$25,"&gt;"&amp;AH12))+COUNTIF($AH$6:$AK$11,AH12)+1&lt;=$U$45,1,0)))</f>
        <v>0</v>
      </c>
      <c r="AS12" s="15" t="n">
        <f aca="false">IF(Y12=1,IF(ISNUMBER(F12),1,0),IF(AI12="",0,IF(IF($U$35=1,COUNTIF($AH$6:$AK$25,"&gt;"&amp;AI12),COUNTIF($AM$6:$AP$25,"&gt;"&amp;AI12))+COUNTIF($AH$6:$AK$11,AI12)+COUNTIF($AH12:AH12,AI12)+1&lt;=$U$45,1,0)))</f>
        <v>0</v>
      </c>
      <c r="AT12" s="15" t="n">
        <f aca="false">IF(Y12=1,IF(ISNUMBER(G12),1,0),IF(AJ12="",0,IF(IF($U$35=1,COUNTIF($AH$6:$AK$25,"&gt;"&amp;AJ12),COUNTIF($AM$6:$AP$25,"&gt;"&amp;AJ12))+COUNTIF($AH$6:$AK$11,AJ12)+COUNTIF($AH12:AI12,AJ12)+1&lt;=$U$45,1,0)))</f>
        <v>0</v>
      </c>
      <c r="AU12" s="15" t="n">
        <f aca="false">IF(Y12=1,IF(ISNUMBER(H12),1,0),IF(AK12="",0,IF(IF($U$35=1,COUNTIF($AH$6:$AK$25,"&gt;"&amp;AK12),COUNTIF($AM$6:$AP$25,"&gt;"&amp;AK12))+COUNTIF($AH$6:$AK$11,AK12)+COUNTIF($AH12:AJ12,AK12)+1&lt;=$U$45,1,0)))</f>
        <v>0</v>
      </c>
      <c r="BZ12" s="15" t="n">
        <f aca="false">IFERROR(LARGE($AH$6:$AK$25,11),0)</f>
        <v>0</v>
      </c>
      <c r="CA12" s="15" t="n">
        <f aca="false">CA11+BZ12</f>
        <v>0</v>
      </c>
      <c r="CB12" s="15" t="n">
        <f aca="false">IFERROR(LARGE($AM$6:$AP$25,11),0)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180</v>
      </c>
      <c r="C13" s="37"/>
      <c r="D13" s="38"/>
      <c r="E13" s="24"/>
      <c r="F13" s="24"/>
      <c r="G13" s="24"/>
      <c r="H13" s="24"/>
      <c r="I13" s="39"/>
      <c r="J13" s="39"/>
      <c r="L13" s="26" t="s">
        <v>181</v>
      </c>
      <c r="M13" s="28" t="str">
        <f aca="false">IF($U$4=0,"",$U$37)</f>
        <v/>
      </c>
      <c r="N13" s="29" t="str">
        <f aca="false">IF($U$4=0,"","Formel: "&amp;FIXED($U$44,1)&amp;" / "&amp;$U$43&amp;" × 40")</f>
        <v/>
      </c>
      <c r="T13" s="15" t="s">
        <v>182</v>
      </c>
      <c r="U13" s="15" t="n">
        <f aca="false">MATCH(MAX($DH$3:$DH$3),$DH$3:$DH$3,0)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IF(Y13=1,IF(ISNUMBER(E13),1,0),IF(AH13="",0,IF(IF($U$35=1,COUNTIF($AH$6:$AK$25,"&gt;"&amp;AH13),COUNTIF($AM$6:$AP$25,"&gt;"&amp;AH13))+COUNTIF($AH$6:$AK$12,AH13)+1&lt;=$U$45,1,0)))</f>
        <v>0</v>
      </c>
      <c r="AS13" s="15" t="n">
        <f aca="false">IF(Y13=1,IF(ISNUMBER(F13),1,0),IF(AI13="",0,IF(IF($U$35=1,COUNTIF($AH$6:$AK$25,"&gt;"&amp;AI13),COUNTIF($AM$6:$AP$25,"&gt;"&amp;AI13))+COUNTIF($AH$6:$AK$12,AI13)+COUNTIF($AH13:AH13,AI13)+1&lt;=$U$45,1,0)))</f>
        <v>0</v>
      </c>
      <c r="AT13" s="15" t="n">
        <f aca="false">IF(Y13=1,IF(ISNUMBER(G13),1,0),IF(AJ13="",0,IF(IF($U$35=1,COUNTIF($AH$6:$AK$25,"&gt;"&amp;AJ13),COUNTIF($AM$6:$AP$25,"&gt;"&amp;AJ13))+COUNTIF($AH$6:$AK$12,AJ13)+COUNTIF($AH13:AI13,AJ13)+1&lt;=$U$45,1,0)))</f>
        <v>0</v>
      </c>
      <c r="AU13" s="15" t="n">
        <f aca="false">IF(Y13=1,IF(ISNUMBER(H13),1,0),IF(AK13="",0,IF(IF($U$35=1,COUNTIF($AH$6:$AK$25,"&gt;"&amp;AK13),COUNTIF($AM$6:$AP$25,"&gt;"&amp;AK13))+COUNTIF($AH$6:$AK$12,AK13)+COUNTIF($AH13:AJ13,AK13)+1&lt;=$U$45,1,0)))</f>
        <v>0</v>
      </c>
      <c r="BZ13" s="15" t="n">
        <f aca="false">IFERROR(LARGE($AH$6:$AK$25,12),0)</f>
        <v>0</v>
      </c>
      <c r="CA13" s="15" t="n">
        <f aca="false">CA12+BZ13</f>
        <v>0</v>
      </c>
      <c r="CB13" s="15" t="n">
        <f aca="false">IFERROR(LARGE($AM$6:$AP$25,12),0)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183</v>
      </c>
      <c r="C14" s="37"/>
      <c r="D14" s="38"/>
      <c r="E14" s="24"/>
      <c r="F14" s="24"/>
      <c r="G14" s="24"/>
      <c r="H14" s="24"/>
      <c r="I14" s="39"/>
      <c r="J14" s="39"/>
      <c r="L14" s="26" t="s">
        <v>184</v>
      </c>
      <c r="M14" s="28" t="str">
        <f aca="false">IF($U$4=0,"",$U$38)</f>
        <v/>
      </c>
      <c r="N14" s="29" t="str">
        <f aca="false">IF($U$4=0,"","erlaubt: höchstens "&amp;$U$39)</f>
        <v/>
      </c>
      <c r="T14" s="15" t="s">
        <v>185</v>
      </c>
      <c r="U14" s="15" t="n">
        <f aca="false">MATCH(MAX($DH$23:$DH$23),$DH$23:$DH$23,0)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IF(Y14=1,IF(ISNUMBER(E14),1,0),IF(AH14="",0,IF(IF($U$35=1,COUNTIF($AH$6:$AK$25,"&gt;"&amp;AH14),COUNTIF($AM$6:$AP$25,"&gt;"&amp;AH14))+COUNTIF($AH$6:$AK$13,AH14)+1&lt;=$U$45,1,0)))</f>
        <v>0</v>
      </c>
      <c r="AS14" s="15" t="n">
        <f aca="false">IF(Y14=1,IF(ISNUMBER(F14),1,0),IF(AI14="",0,IF(IF($U$35=1,COUNTIF($AH$6:$AK$25,"&gt;"&amp;AI14),COUNTIF($AM$6:$AP$25,"&gt;"&amp;AI14))+COUNTIF($AH$6:$AK$13,AI14)+COUNTIF($AH14:AH14,AI14)+1&lt;=$U$45,1,0)))</f>
        <v>0</v>
      </c>
      <c r="AT14" s="15" t="n">
        <f aca="false">IF(Y14=1,IF(ISNUMBER(G14),1,0),IF(AJ14="",0,IF(IF($U$35=1,COUNTIF($AH$6:$AK$25,"&gt;"&amp;AJ14),COUNTIF($AM$6:$AP$25,"&gt;"&amp;AJ14))+COUNTIF($AH$6:$AK$13,AJ14)+COUNTIF($AH14:AI14,AJ14)+1&lt;=$U$45,1,0)))</f>
        <v>0</v>
      </c>
      <c r="AU14" s="15" t="n">
        <f aca="false">IF(Y14=1,IF(ISNUMBER(H14),1,0),IF(AK14="",0,IF(IF($U$35=1,COUNTIF($AH$6:$AK$25,"&gt;"&amp;AK14),COUNTIF($AM$6:$AP$25,"&gt;"&amp;AK14))+COUNTIF($AH$6:$AK$13,AK14)+COUNTIF($AH14:AJ14,AK14)+1&lt;=$U$45,1,0)))</f>
        <v>0</v>
      </c>
      <c r="BZ14" s="15" t="n">
        <f aca="false">IFERROR(LARGE($AH$6:$AK$25,13),0)</f>
        <v>0</v>
      </c>
      <c r="CA14" s="15" t="n">
        <f aca="false">CA13+BZ14</f>
        <v>0</v>
      </c>
      <c r="CB14" s="15" t="n">
        <f aca="false">IFERROR(LARGE($AM$6:$AP$25,13),0)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186</v>
      </c>
      <c r="C15" s="37"/>
      <c r="D15" s="38"/>
      <c r="E15" s="24"/>
      <c r="F15" s="24"/>
      <c r="G15" s="24"/>
      <c r="H15" s="24"/>
      <c r="I15" s="39"/>
      <c r="J15" s="39"/>
      <c r="L15" s="26" t="s">
        <v>187</v>
      </c>
      <c r="M15" s="28" t="str">
        <f aca="false">IF($U$4=0,"","+"&amp;$U$15)</f>
        <v/>
      </c>
      <c r="N15" s="29" t="s">
        <v>188</v>
      </c>
      <c r="T15" s="15" t="s">
        <v>189</v>
      </c>
      <c r="U15" s="15" t="n">
        <f aca="false">4</f>
        <v>4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IF(Y15=1,IF(ISNUMBER(E15),1,0),IF(AH15="",0,IF(IF($U$35=1,COUNTIF($AH$6:$AK$25,"&gt;"&amp;AH15),COUNTIF($AM$6:$AP$25,"&gt;"&amp;AH15))+COUNTIF($AH$6:$AK$14,AH15)+1&lt;=$U$45,1,0)))</f>
        <v>0</v>
      </c>
      <c r="AS15" s="15" t="n">
        <f aca="false">IF(Y15=1,IF(ISNUMBER(F15),1,0),IF(AI15="",0,IF(IF($U$35=1,COUNTIF($AH$6:$AK$25,"&gt;"&amp;AI15),COUNTIF($AM$6:$AP$25,"&gt;"&amp;AI15))+COUNTIF($AH$6:$AK$14,AI15)+COUNTIF($AH15:AH15,AI15)+1&lt;=$U$45,1,0)))</f>
        <v>0</v>
      </c>
      <c r="AT15" s="15" t="n">
        <f aca="false">IF(Y15=1,IF(ISNUMBER(G15),1,0),IF(AJ15="",0,IF(IF($U$35=1,COUNTIF($AH$6:$AK$25,"&gt;"&amp;AJ15),COUNTIF($AM$6:$AP$25,"&gt;"&amp;AJ15))+COUNTIF($AH$6:$AK$14,AJ15)+COUNTIF($AH15:AI15,AJ15)+1&lt;=$U$45,1,0)))</f>
        <v>0</v>
      </c>
      <c r="AU15" s="15" t="n">
        <f aca="false">IF(Y15=1,IF(ISNUMBER(H15),1,0),IF(AK15="",0,IF(IF($U$35=1,COUNTIF($AH$6:$AK$25,"&gt;"&amp;AK15),COUNTIF($AM$6:$AP$25,"&gt;"&amp;AK15))+COUNTIF($AH$6:$AK$14,AK15)+COUNTIF($AH15:AJ15,AK15)+1&lt;=$U$45,1,0)))</f>
        <v>0</v>
      </c>
      <c r="BZ15" s="15" t="n">
        <f aca="false">IFERROR(LARGE($AH$6:$AK$25,14),0)</f>
        <v>0</v>
      </c>
      <c r="CA15" s="15" t="n">
        <f aca="false">CA14+BZ15</f>
        <v>0</v>
      </c>
      <c r="CB15" s="15" t="n">
        <f aca="false">IFERROR(LARGE($AM$6:$AP$25,14),0)</f>
        <v>0</v>
      </c>
      <c r="CC15" s="15" t="n">
        <f aca="false">CC14+CB15</f>
        <v>0</v>
      </c>
    </row>
    <row r="16" customFormat="false" ht="15" hidden="false" customHeight="false" outlineLevel="0" collapsed="false">
      <c r="B16" s="36" t="s">
        <v>190</v>
      </c>
      <c r="C16" s="37"/>
      <c r="D16" s="38"/>
      <c r="E16" s="24"/>
      <c r="F16" s="24"/>
      <c r="G16" s="24"/>
      <c r="H16" s="24"/>
      <c r="I16" s="39"/>
      <c r="J16" s="39"/>
      <c r="L16" s="26" t="s">
        <v>191</v>
      </c>
      <c r="M16" s="28" t="str">
        <f aca="false">IF($U$4=0,"","≈ +"&amp;FIXED(40/$U$43,2))</f>
        <v/>
      </c>
      <c r="N16" s="29" t="s">
        <v>192</v>
      </c>
      <c r="T16" s="15" t="s">
        <v>193</v>
      </c>
      <c r="U16" s="15" t="n">
        <f aca="false">MIN(300,INT((SUM(BO6,BO7,BO8,BO9,BO10))+0.5+0.000000001))</f>
        <v>0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IF(Y16=1,IF(ISNUMBER(E16),1,0),IF(AH16="",0,IF(IF($U$35=1,COUNTIF($AH$6:$AK$25,"&gt;"&amp;AH16),COUNTIF($AM$6:$AP$25,"&gt;"&amp;AH16))+COUNTIF($AH$6:$AK$15,AH16)+1&lt;=$U$45,1,0)))</f>
        <v>0</v>
      </c>
      <c r="AS16" s="15" t="n">
        <f aca="false">IF(Y16=1,IF(ISNUMBER(F16),1,0),IF(AI16="",0,IF(IF($U$35=1,COUNTIF($AH$6:$AK$25,"&gt;"&amp;AI16),COUNTIF($AM$6:$AP$25,"&gt;"&amp;AI16))+COUNTIF($AH$6:$AK$15,AI16)+COUNTIF($AH16:AH16,AI16)+1&lt;=$U$45,1,0)))</f>
        <v>0</v>
      </c>
      <c r="AT16" s="15" t="n">
        <f aca="false">IF(Y16=1,IF(ISNUMBER(G16),1,0),IF(AJ16="",0,IF(IF($U$35=1,COUNTIF($AH$6:$AK$25,"&gt;"&amp;AJ16),COUNTIF($AM$6:$AP$25,"&gt;"&amp;AJ16))+COUNTIF($AH$6:$AK$15,AJ16)+COUNTIF($AH16:AI16,AJ16)+1&lt;=$U$45,1,0)))</f>
        <v>0</v>
      </c>
      <c r="AU16" s="15" t="n">
        <f aca="false">IF(Y16=1,IF(ISNUMBER(H16),1,0),IF(AK16="",0,IF(IF($U$35=1,COUNTIF($AH$6:$AK$25,"&gt;"&amp;AK16),COUNTIF($AM$6:$AP$25,"&gt;"&amp;AK16))+COUNTIF($AH$6:$AK$15,AK16)+COUNTIF($AH16:AJ16,AK16)+1&lt;=$U$45,1,0)))</f>
        <v>0</v>
      </c>
      <c r="BZ16" s="15" t="n">
        <f aca="false">IFERROR(LARGE($AH$6:$AK$25,15),0)</f>
        <v>0</v>
      </c>
      <c r="CA16" s="15" t="n">
        <f aca="false">CA15+BZ16</f>
        <v>0</v>
      </c>
      <c r="CB16" s="15" t="n">
        <f aca="false">IFERROR(LARGE($AM$6:$AP$25,15),0)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194</v>
      </c>
      <c r="C17" s="37"/>
      <c r="D17" s="38"/>
      <c r="E17" s="24"/>
      <c r="F17" s="24"/>
      <c r="G17" s="24"/>
      <c r="H17" s="24"/>
      <c r="I17" s="39"/>
      <c r="J17" s="39"/>
      <c r="T17" s="15" t="s">
        <v>195</v>
      </c>
      <c r="U17" s="15" t="n">
        <f aca="false">SUM(BP6,BP7,BP8,BP9,BP10)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IF(Y17=1,IF(ISNUMBER(E17),1,0),IF(AH17="",0,IF(IF($U$35=1,COUNTIF($AH$6:$AK$25,"&gt;"&amp;AH17),COUNTIF($AM$6:$AP$25,"&gt;"&amp;AH17))+COUNTIF($AH$6:$AK$16,AH17)+1&lt;=$U$45,1,0)))</f>
        <v>0</v>
      </c>
      <c r="AS17" s="15" t="n">
        <f aca="false">IF(Y17=1,IF(ISNUMBER(F17),1,0),IF(AI17="",0,IF(IF($U$35=1,COUNTIF($AH$6:$AK$25,"&gt;"&amp;AI17),COUNTIF($AM$6:$AP$25,"&gt;"&amp;AI17))+COUNTIF($AH$6:$AK$16,AI17)+COUNTIF($AH17:AH17,AI17)+1&lt;=$U$45,1,0)))</f>
        <v>0</v>
      </c>
      <c r="AT17" s="15" t="n">
        <f aca="false">IF(Y17=1,IF(ISNUMBER(G17),1,0),IF(AJ17="",0,IF(IF($U$35=1,COUNTIF($AH$6:$AK$25,"&gt;"&amp;AJ17),COUNTIF($AM$6:$AP$25,"&gt;"&amp;AJ17))+COUNTIF($AH$6:$AK$16,AJ17)+COUNTIF($AH17:AI17,AJ17)+1&lt;=$U$45,1,0)))</f>
        <v>0</v>
      </c>
      <c r="AU17" s="15" t="n">
        <f aca="false">IF(Y17=1,IF(ISNUMBER(H17),1,0),IF(AK17="",0,IF(IF($U$35=1,COUNTIF($AH$6:$AK$25,"&gt;"&amp;AK17),COUNTIF($AM$6:$AP$25,"&gt;"&amp;AK17))+COUNTIF($AH$6:$AK$16,AK17)+COUNTIF($AH17:AJ17,AK17)+1&lt;=$U$45,1,0)))</f>
        <v>0</v>
      </c>
      <c r="BZ17" s="15" t="n">
        <f aca="false">IFERROR(LARGE($AH$6:$AK$25,16),0)</f>
        <v>0</v>
      </c>
      <c r="CA17" s="15" t="n">
        <f aca="false">CA16+BZ17</f>
        <v>0</v>
      </c>
      <c r="CB17" s="15" t="n">
        <f aca="false">IFERROR(LARGE($AM$6:$AP$25,16),0)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196</v>
      </c>
      <c r="C18" s="37"/>
      <c r="D18" s="38"/>
      <c r="E18" s="24"/>
      <c r="F18" s="24"/>
      <c r="G18" s="24"/>
      <c r="H18" s="24"/>
      <c r="I18" s="39"/>
      <c r="J18" s="39"/>
      <c r="L18" s="40" t="s">
        <v>197</v>
      </c>
      <c r="M18" s="41" t="s">
        <v>149</v>
      </c>
      <c r="N18" s="6" t="s">
        <v>198</v>
      </c>
      <c r="T18" s="15" t="s">
        <v>199</v>
      </c>
      <c r="U18" s="15" t="n">
        <f aca="false">BP6+BP7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IF(Y18=1,IF(ISNUMBER(E18),1,0),IF(AH18="",0,IF(IF($U$35=1,COUNTIF($AH$6:$AK$25,"&gt;"&amp;AH18),COUNTIF($AM$6:$AP$25,"&gt;"&amp;AH18))+COUNTIF($AH$6:$AK$17,AH18)+1&lt;=$U$45,1,0)))</f>
        <v>0</v>
      </c>
      <c r="AS18" s="15" t="n">
        <f aca="false">IF(Y18=1,IF(ISNUMBER(F18),1,0),IF(AI18="",0,IF(IF($U$35=1,COUNTIF($AH$6:$AK$25,"&gt;"&amp;AI18),COUNTIF($AM$6:$AP$25,"&gt;"&amp;AI18))+COUNTIF($AH$6:$AK$17,AI18)+COUNTIF($AH18:AH18,AI18)+1&lt;=$U$45,1,0)))</f>
        <v>0</v>
      </c>
      <c r="AT18" s="15" t="n">
        <f aca="false">IF(Y18=1,IF(ISNUMBER(G18),1,0),IF(AJ18="",0,IF(IF($U$35=1,COUNTIF($AH$6:$AK$25,"&gt;"&amp;AJ18),COUNTIF($AM$6:$AP$25,"&gt;"&amp;AJ18))+COUNTIF($AH$6:$AK$17,AJ18)+COUNTIF($AH18:AI18,AJ18)+1&lt;=$U$45,1,0)))</f>
        <v>0</v>
      </c>
      <c r="AU18" s="15" t="n">
        <f aca="false">IF(Y18=1,IF(ISNUMBER(H18),1,0),IF(AK18="",0,IF(IF($U$35=1,COUNTIF($AH$6:$AK$25,"&gt;"&amp;AK18),COUNTIF($AM$6:$AP$25,"&gt;"&amp;AK18))+COUNTIF($AH$6:$AK$17,AK18)+COUNTIF($AH18:AJ18,AK18)+1&lt;=$U$45,1,0)))</f>
        <v>0</v>
      </c>
      <c r="BZ18" s="15" t="n">
        <f aca="false">IFERROR(LARGE($AH$6:$AK$25,17),0)</f>
        <v>0</v>
      </c>
      <c r="CA18" s="15" t="n">
        <f aca="false">CA17+BZ18</f>
        <v>0</v>
      </c>
      <c r="CB18" s="15" t="n">
        <f aca="false">IFERROR(LARGE($AM$6:$AP$25,17),0)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200</v>
      </c>
      <c r="C19" s="37"/>
      <c r="D19" s="38"/>
      <c r="E19" s="24"/>
      <c r="F19" s="24"/>
      <c r="G19" s="24"/>
      <c r="H19" s="24"/>
      <c r="I19" s="39"/>
      <c r="J19" s="39"/>
      <c r="L19" s="42" t="s">
        <v>201</v>
      </c>
      <c r="M19" s="43" t="str">
        <f aca="false">IF($U$4=0,"",IF($U$47=1,"✓ erfüllt","✗ nicht erfüllt"))</f>
        <v/>
      </c>
      <c r="N19" s="36" t="str">
        <f aca="false">IF($U$4=0,"",$U$36&amp;" Punkte")</f>
        <v/>
      </c>
      <c r="T19" s="15" t="s">
        <v>202</v>
      </c>
      <c r="U19" s="15" t="n">
        <f aca="false">BQ6+BQ7+BQ8+BQ9+BQ10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IF(Y19=1,IF(ISNUMBER(E19),1,0),IF(AH19="",0,IF(IF($U$35=1,COUNTIF($AH$6:$AK$25,"&gt;"&amp;AH19),COUNTIF($AM$6:$AP$25,"&gt;"&amp;AH19))+COUNTIF($AH$6:$AK$18,AH19)+1&lt;=$U$45,1,0)))</f>
        <v>0</v>
      </c>
      <c r="AS19" s="15" t="n">
        <f aca="false">IF(Y19=1,IF(ISNUMBER(F19),1,0),IF(AI19="",0,IF(IF($U$35=1,COUNTIF($AH$6:$AK$25,"&gt;"&amp;AI19),COUNTIF($AM$6:$AP$25,"&gt;"&amp;AI19))+COUNTIF($AH$6:$AK$18,AI19)+COUNTIF($AH19:AH19,AI19)+1&lt;=$U$45,1,0)))</f>
        <v>0</v>
      </c>
      <c r="AT19" s="15" t="n">
        <f aca="false">IF(Y19=1,IF(ISNUMBER(G19),1,0),IF(AJ19="",0,IF(IF($U$35=1,COUNTIF($AH$6:$AK$25,"&gt;"&amp;AJ19),COUNTIF($AM$6:$AP$25,"&gt;"&amp;AJ19))+COUNTIF($AH$6:$AK$18,AJ19)+COUNTIF($AH19:AI19,AJ19)+1&lt;=$U$45,1,0)))</f>
        <v>0</v>
      </c>
      <c r="AU19" s="15" t="n">
        <f aca="false">IF(Y19=1,IF(ISNUMBER(H19),1,0),IF(AK19="",0,IF(IF($U$35=1,COUNTIF($AH$6:$AK$25,"&gt;"&amp;AK19),COUNTIF($AM$6:$AP$25,"&gt;"&amp;AK19))+COUNTIF($AH$6:$AK$18,AK19)+COUNTIF($AH19:AJ19,AK19)+1&lt;=$U$45,1,0)))</f>
        <v>0</v>
      </c>
      <c r="BZ19" s="15" t="n">
        <f aca="false">IFERROR(LARGE($AH$6:$AK$25,18),0)</f>
        <v>0</v>
      </c>
      <c r="CA19" s="15" t="n">
        <f aca="false">CA18+BZ19</f>
        <v>0</v>
      </c>
      <c r="CB19" s="15" t="n">
        <f aca="false">IFERROR(LARGE($AM$6:$AP$25,18),0)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203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"&amp;$U$39&amp;" Unterkurse (unter 5 Punkten)"</f>
        <v>Höchstens 7 Unterkurse (unter 5 Punkten)</v>
      </c>
      <c r="M20" s="43" t="str">
        <f aca="false">IF($U$4=0,"",IF($U$48=1,"✓ erfüllt","✗ nicht erfüllt"))</f>
        <v/>
      </c>
      <c r="N20" s="36" t="str">
        <f aca="false">IF($U$4=0,"",$U$38&amp;" Unterkurse")</f>
        <v/>
      </c>
      <c r="T20" s="15" t="s">
        <v>204</v>
      </c>
      <c r="U20" s="15" t="n">
        <f aca="false">BR6+BR7+BR8+BR9+BR10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IF(Y20=1,IF(ISNUMBER(E20),1,0),IF(AH20="",0,IF(IF($U$35=1,COUNTIF($AH$6:$AK$25,"&gt;"&amp;AH20),COUNTIF($AM$6:$AP$25,"&gt;"&amp;AH20))+COUNTIF($AH$6:$AK$19,AH20)+1&lt;=$U$45,1,0)))</f>
        <v>0</v>
      </c>
      <c r="AS20" s="15" t="n">
        <f aca="false">IF(Y20=1,IF(ISNUMBER(F20),1,0),IF(AI20="",0,IF(IF($U$35=1,COUNTIF($AH$6:$AK$25,"&gt;"&amp;AI20),COUNTIF($AM$6:$AP$25,"&gt;"&amp;AI20))+COUNTIF($AH$6:$AK$19,AI20)+COUNTIF($AH20:AH20,AI20)+1&lt;=$U$45,1,0)))</f>
        <v>0</v>
      </c>
      <c r="AT20" s="15" t="n">
        <f aca="false">IF(Y20=1,IF(ISNUMBER(G20),1,0),IF(AJ20="",0,IF(IF($U$35=1,COUNTIF($AH$6:$AK$25,"&gt;"&amp;AJ20),COUNTIF($AM$6:$AP$25,"&gt;"&amp;AJ20))+COUNTIF($AH$6:$AK$19,AJ20)+COUNTIF($AH20:AI20,AJ20)+1&lt;=$U$45,1,0)))</f>
        <v>0</v>
      </c>
      <c r="AU20" s="15" t="n">
        <f aca="false">IF(Y20=1,IF(ISNUMBER(H20),1,0),IF(AK20="",0,IF(IF($U$35=1,COUNTIF($AH$6:$AK$25,"&gt;"&amp;AK20),COUNTIF($AM$6:$AP$25,"&gt;"&amp;AK20))+COUNTIF($AH$6:$AK$19,AK20)+COUNTIF($AH20:AJ20,AK20)+1&lt;=$U$45,1,0)))</f>
        <v>0</v>
      </c>
      <c r="BZ20" s="15" t="n">
        <f aca="false">IFERROR(LARGE($AH$6:$AK$25,19),0)</f>
        <v>0</v>
      </c>
      <c r="CA20" s="15" t="n">
        <f aca="false">CA19+BZ20</f>
        <v>0</v>
      </c>
      <c r="CB20" s="15" t="n">
        <f aca="false">IFERROR(LARGE($AM$6:$AP$25,19),0)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205</v>
      </c>
      <c r="C21" s="37"/>
      <c r="D21" s="38"/>
      <c r="E21" s="24"/>
      <c r="F21" s="24"/>
      <c r="G21" s="24"/>
      <c r="H21" s="24"/>
      <c r="I21" s="39"/>
      <c r="J21" s="39"/>
      <c r="L21" s="42" t="s">
        <v>209</v>
      </c>
      <c r="M21" s="43" t="str">
        <f aca="false">IF($U$4=0,"",IF($U$53=1,"✓ erfüllt","✗ nicht erfüllt"))</f>
        <v/>
      </c>
      <c r="N21" s="36" t="str">
        <f aca="false">IF($U$4=0,"",$U$12&amp;" mit 0 Punkten")</f>
        <v/>
      </c>
      <c r="T21" s="15" t="s">
        <v>207</v>
      </c>
      <c r="U21" s="15" t="n">
        <f aca="false">MIN(300,INT((SUM(BU6,BU7,BU8,BU9,BU10))+0.5+0.000000001))</f>
        <v>140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IF(Y21=1,IF(ISNUMBER(E21),1,0),IF(AH21="",0,IF(IF($U$35=1,COUNTIF($AH$6:$AK$25,"&gt;"&amp;AH21),COUNTIF($AM$6:$AP$25,"&gt;"&amp;AH21))+COUNTIF($AH$6:$AK$20,AH21)+1&lt;=$U$45,1,0)))</f>
        <v>0</v>
      </c>
      <c r="AS21" s="15" t="n">
        <f aca="false">IF(Y21=1,IF(ISNUMBER(F21),1,0),IF(AI21="",0,IF(IF($U$35=1,COUNTIF($AH$6:$AK$25,"&gt;"&amp;AI21),COUNTIF($AM$6:$AP$25,"&gt;"&amp;AI21))+COUNTIF($AH$6:$AK$20,AI21)+COUNTIF($AH21:AH21,AI21)+1&lt;=$U$45,1,0)))</f>
        <v>0</v>
      </c>
      <c r="AT21" s="15" t="n">
        <f aca="false">IF(Y21=1,IF(ISNUMBER(G21),1,0),IF(AJ21="",0,IF(IF($U$35=1,COUNTIF($AH$6:$AK$25,"&gt;"&amp;AJ21),COUNTIF($AM$6:$AP$25,"&gt;"&amp;AJ21))+COUNTIF($AH$6:$AK$20,AJ21)+COUNTIF($AH21:AI21,AJ21)+1&lt;=$U$45,1,0)))</f>
        <v>0</v>
      </c>
      <c r="AU21" s="15" t="n">
        <f aca="false">IF(Y21=1,IF(ISNUMBER(H21),1,0),IF(AK21="",0,IF(IF($U$35=1,COUNTIF($AH$6:$AK$25,"&gt;"&amp;AK21),COUNTIF($AM$6:$AP$25,"&gt;"&amp;AK21))+COUNTIF($AH$6:$AK$20,AK21)+COUNTIF($AH21:AJ21,AK21)+1&lt;=$U$45,1,0)))</f>
        <v>0</v>
      </c>
      <c r="BZ21" s="15" t="n">
        <f aca="false">IFERROR(LARGE($AH$6:$AK$25,20),0)</f>
        <v>0</v>
      </c>
      <c r="CA21" s="15" t="n">
        <f aca="false">CA20+BZ21</f>
        <v>0</v>
      </c>
      <c r="CB21" s="15" t="n">
        <f aca="false">IFERROR(LARGE($AM$6:$AP$25,20),0)</f>
        <v>0</v>
      </c>
      <c r="CC21" s="15" t="n">
        <f aca="false">CC20+CB21</f>
        <v>0</v>
      </c>
    </row>
    <row r="22" customFormat="false" ht="22.35" hidden="false" customHeight="false" outlineLevel="0" collapsed="false">
      <c r="B22" s="36" t="s">
        <v>208</v>
      </c>
      <c r="C22" s="37"/>
      <c r="D22" s="38"/>
      <c r="E22" s="24"/>
      <c r="F22" s="24"/>
      <c r="G22" s="24"/>
      <c r="H22" s="24"/>
      <c r="I22" s="39"/>
      <c r="J22" s="39"/>
      <c r="L22" s="42" t="s">
        <v>212</v>
      </c>
      <c r="M22" s="43" t="str">
        <f aca="false">IF($U$4=0,"",IF($U$56=1,"✓ erfüllt","✗ nicht erfüllt"))</f>
        <v/>
      </c>
      <c r="N22" s="36"/>
      <c r="T22" s="15" t="s">
        <v>210</v>
      </c>
      <c r="U22" s="15" t="n">
        <f aca="false">SUM(BV6,BV7,BV8,BV9,BV10)</f>
        <v>5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IF(Y22=1,IF(ISNUMBER(E22),1,0),IF(AH22="",0,IF(IF($U$35=1,COUNTIF($AH$6:$AK$25,"&gt;"&amp;AH22),COUNTIF($AM$6:$AP$25,"&gt;"&amp;AH22))+COUNTIF($AH$6:$AK$21,AH22)+1&lt;=$U$45,1,0)))</f>
        <v>0</v>
      </c>
      <c r="AS22" s="15" t="n">
        <f aca="false">IF(Y22=1,IF(ISNUMBER(F22),1,0),IF(AI22="",0,IF(IF($U$35=1,COUNTIF($AH$6:$AK$25,"&gt;"&amp;AI22),COUNTIF($AM$6:$AP$25,"&gt;"&amp;AI22))+COUNTIF($AH$6:$AK$21,AI22)+COUNTIF($AH22:AH22,AI22)+1&lt;=$U$45,1,0)))</f>
        <v>0</v>
      </c>
      <c r="AT22" s="15" t="n">
        <f aca="false">IF(Y22=1,IF(ISNUMBER(G22),1,0),IF(AJ22="",0,IF(IF($U$35=1,COUNTIF($AH$6:$AK$25,"&gt;"&amp;AJ22),COUNTIF($AM$6:$AP$25,"&gt;"&amp;AJ22))+COUNTIF($AH$6:$AK$21,AJ22)+COUNTIF($AH22:AI22,AJ22)+1&lt;=$U$45,1,0)))</f>
        <v>0</v>
      </c>
      <c r="AU22" s="15" t="n">
        <f aca="false">IF(Y22=1,IF(ISNUMBER(H22),1,0),IF(AK22="",0,IF(IF($U$35=1,COUNTIF($AH$6:$AK$25,"&gt;"&amp;AK22),COUNTIF($AM$6:$AP$25,"&gt;"&amp;AK22))+COUNTIF($AH$6:$AK$21,AK22)+COUNTIF($AH22:AJ22,AK22)+1&lt;=$U$45,1,0)))</f>
        <v>0</v>
      </c>
      <c r="BZ22" s="15" t="n">
        <f aca="false">IFERROR(LARGE($AH$6:$AK$25,21),0)</f>
        <v>0</v>
      </c>
      <c r="CA22" s="15" t="n">
        <f aca="false">CA21+BZ22</f>
        <v>0</v>
      </c>
      <c r="CB22" s="15" t="n">
        <f aca="false">IFERROR(LARGE($AM$6:$AP$25,21),0)</f>
        <v>0</v>
      </c>
      <c r="CC22" s="15" t="n">
        <f aca="false">CC21+CB22</f>
        <v>0</v>
      </c>
      <c r="CE22" s="15" t="s">
        <v>79</v>
      </c>
      <c r="CF22" s="15" t="s">
        <v>80</v>
      </c>
      <c r="CG22" s="15" t="s">
        <v>81</v>
      </c>
      <c r="CH22" s="15" t="s">
        <v>82</v>
      </c>
      <c r="CI22" s="15" t="s">
        <v>83</v>
      </c>
      <c r="CJ22" s="15" t="s">
        <v>84</v>
      </c>
      <c r="CK22" s="15" t="s">
        <v>85</v>
      </c>
      <c r="CL22" s="15" t="s">
        <v>86</v>
      </c>
      <c r="CM22" s="15" t="s">
        <v>87</v>
      </c>
      <c r="CN22" s="15" t="s">
        <v>88</v>
      </c>
      <c r="CO22" s="15" t="s">
        <v>89</v>
      </c>
      <c r="CP22" s="15" t="s">
        <v>90</v>
      </c>
      <c r="CQ22" s="15" t="s">
        <v>91</v>
      </c>
      <c r="CR22" s="15" t="s">
        <v>92</v>
      </c>
      <c r="CS22" s="15" t="s">
        <v>93</v>
      </c>
      <c r="CT22" s="15" t="s">
        <v>94</v>
      </c>
      <c r="CU22" s="15" t="s">
        <v>95</v>
      </c>
      <c r="CV22" s="15" t="s">
        <v>96</v>
      </c>
      <c r="CW22" s="15" t="s">
        <v>97</v>
      </c>
      <c r="CX22" s="15" t="s">
        <v>98</v>
      </c>
      <c r="CY22" s="15" t="s">
        <v>99</v>
      </c>
      <c r="CZ22" s="15" t="s">
        <v>100</v>
      </c>
      <c r="DA22" s="15" t="s">
        <v>101</v>
      </c>
      <c r="DB22" s="15" t="s">
        <v>102</v>
      </c>
      <c r="DC22" s="15" t="s">
        <v>103</v>
      </c>
      <c r="DD22" s="15" t="s">
        <v>104</v>
      </c>
      <c r="DE22" s="15" t="s">
        <v>105</v>
      </c>
      <c r="DF22" s="15" t="s">
        <v>106</v>
      </c>
      <c r="DG22" s="15" t="s">
        <v>107</v>
      </c>
      <c r="DH22" s="15" t="s">
        <v>108</v>
      </c>
    </row>
    <row r="23" customFormat="false" ht="15" hidden="false" customHeight="false" outlineLevel="0" collapsed="false">
      <c r="B23" s="36" t="s">
        <v>211</v>
      </c>
      <c r="C23" s="37"/>
      <c r="D23" s="38"/>
      <c r="E23" s="24"/>
      <c r="F23" s="24"/>
      <c r="G23" s="24"/>
      <c r="H23" s="24"/>
      <c r="I23" s="39"/>
      <c r="J23" s="39"/>
      <c r="L23" s="42" t="s">
        <v>215</v>
      </c>
      <c r="M23" s="43" t="str">
        <f aca="false">IF($U$4=0,"",IF($U$61=1,"✓ erfüllt","✗ nicht erfüllt"))</f>
        <v/>
      </c>
      <c r="N23" s="36" t="str">
        <f aca="false">IF($U$4=0,"",$U$59&amp;" Punkte")</f>
        <v/>
      </c>
      <c r="T23" s="15" t="s">
        <v>213</v>
      </c>
      <c r="U23" s="15" t="n">
        <f aca="false">BV6+BV7</f>
        <v>2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IF(Y23=1,IF(ISNUMBER(E23),1,0),IF(AH23="",0,IF(IF($U$35=1,COUNTIF($AH$6:$AK$25,"&gt;"&amp;AH23),COUNTIF($AM$6:$AP$25,"&gt;"&amp;AH23))+COUNTIF($AH$6:$AK$22,AH23)+1&lt;=$U$45,1,0)))</f>
        <v>0</v>
      </c>
      <c r="AS23" s="15" t="n">
        <f aca="false">IF(Y23=1,IF(ISNUMBER(F23),1,0),IF(AI23="",0,IF(IF($U$35=1,COUNTIF($AH$6:$AK$25,"&gt;"&amp;AI23),COUNTIF($AM$6:$AP$25,"&gt;"&amp;AI23))+COUNTIF($AH$6:$AK$22,AI23)+COUNTIF($AH23:AH23,AI23)+1&lt;=$U$45,1,0)))</f>
        <v>0</v>
      </c>
      <c r="AT23" s="15" t="n">
        <f aca="false">IF(Y23=1,IF(ISNUMBER(G23),1,0),IF(AJ23="",0,IF(IF($U$35=1,COUNTIF($AH$6:$AK$25,"&gt;"&amp;AJ23),COUNTIF($AM$6:$AP$25,"&gt;"&amp;AJ23))+COUNTIF($AH$6:$AK$22,AJ23)+COUNTIF($AH23:AI23,AJ23)+1&lt;=$U$45,1,0)))</f>
        <v>0</v>
      </c>
      <c r="AU23" s="15" t="n">
        <f aca="false">IF(Y23=1,IF(ISNUMBER(H23),1,0),IF(AK23="",0,IF(IF($U$35=1,COUNTIF($AH$6:$AK$25,"&gt;"&amp;AK23),COUNTIF($AM$6:$AP$25,"&gt;"&amp;AK23))+COUNTIF($AH$6:$AK$22,AK23)+COUNTIF($AH23:AJ23,AK23)+1&lt;=$U$45,1,0)))</f>
        <v>0</v>
      </c>
      <c r="BZ23" s="15" t="n">
        <f aca="false">IFERROR(LARGE($AH$6:$AK$25,22),0)</f>
        <v>0</v>
      </c>
      <c r="CA23" s="15" t="n">
        <f aca="false">CA22+BZ23</f>
        <v>0</v>
      </c>
      <c r="CB23" s="15" t="n">
        <f aca="false">IFERROR(LARGE($AM$6:$AP$25,22),0)</f>
        <v>0</v>
      </c>
      <c r="CC23" s="15" t="n">
        <f aca="false">CC22+CB23</f>
        <v>0</v>
      </c>
      <c r="CE23" s="15" t="n">
        <f aca="false">36</f>
        <v>36</v>
      </c>
      <c r="CF23" s="15" t="n">
        <f aca="false">CE23-$V$5-$V$6-0</f>
        <v>16</v>
      </c>
      <c r="CG23" s="15" t="n">
        <f aca="false">MAX(0,CF23)</f>
        <v>16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16</v>
      </c>
      <c r="CK23" s="15" t="n">
        <f aca="false">$V$5+CH23+CJ23</f>
        <v>36</v>
      </c>
      <c r="CL23" s="15" t="n">
        <f aca="false">2*BE6+2*BF6+2*BE7+2*BF7</f>
        <v>112</v>
      </c>
      <c r="CM23" s="15" t="n">
        <f aca="false">2*BG6+2*BH6+2*BG7+2*BH7+1*BG8+1*BH8+1*BG9+1*BH9+1*BG10+1*BH10+SUM($AE$12:$AE$25)</f>
        <v>28</v>
      </c>
      <c r="CN23" s="15" t="n">
        <f aca="false">IF(CH23=0,0,INDEX($CC$2:$CC$57,CH23))</f>
        <v>0</v>
      </c>
      <c r="CO23" s="15" t="n">
        <f aca="false">CL23+$V$11+CN23+CJ23*$U$2</f>
        <v>308</v>
      </c>
      <c r="CP23" s="15" t="n">
        <f aca="false">CM23+CH23+CJ23</f>
        <v>44</v>
      </c>
      <c r="CQ23" s="15" t="n">
        <f aca="false">IF(CP23&gt;0,MIN(600,INT((CO23/CP23*40)+0.5+0.000000001)),0)</f>
        <v>280</v>
      </c>
      <c r="CR23" s="15" t="n">
        <f aca="false">$V$9+CT23</f>
        <v>0</v>
      </c>
      <c r="CS23" s="15" t="n">
        <f aca="false">7</f>
        <v>7</v>
      </c>
      <c r="CT23" s="15" t="n">
        <f aca="false">$V$10+MAX(0,CH23-$V$8)+CJ23*IF($U$2&lt;5,1,0)</f>
        <v>0</v>
      </c>
      <c r="CU23" s="15" t="n">
        <f aca="false">$V$11+CN23+CJ23*$U$2</f>
        <v>196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1</f>
        <v>1</v>
      </c>
      <c r="CY23" s="15" t="n">
        <f aca="false">1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1028064</v>
      </c>
    </row>
    <row r="24" customFormat="false" ht="22.35" hidden="false" customHeight="false" outlineLevel="0" collapsed="false">
      <c r="B24" s="36" t="s">
        <v>214</v>
      </c>
      <c r="C24" s="37"/>
      <c r="D24" s="38"/>
      <c r="E24" s="24"/>
      <c r="F24" s="24"/>
      <c r="G24" s="24"/>
      <c r="H24" s="24"/>
      <c r="I24" s="39"/>
      <c r="J24" s="39"/>
      <c r="L24" s="42" t="str">
        <f aca="false">"In mindestens "&amp;$U$26&amp;" Prüfungen mindestens 5 Punkte (einfach), davon eine im 1./2. Prüfungsfach"</f>
        <v>In mindestens 3 Prüfungen mindestens 5 Punkte (einfach), davon eine im 1./2. Prüfungsfach</v>
      </c>
      <c r="M24" s="43" t="str">
        <f aca="false">IF($U$4=0,"",IF($U$62=1,"✓ erfüllt","✗ nicht erfüllt"))</f>
        <v/>
      </c>
      <c r="N24" s="36" t="str">
        <f aca="false">IF($U$4=0,"",$U$60&amp;" Prüfungen")</f>
        <v/>
      </c>
      <c r="T24" s="15" t="s">
        <v>216</v>
      </c>
      <c r="U24" s="15" t="n">
        <f aca="false">BW6+BW7+BW8+BW9+BW10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IF(Y24=1,IF(ISNUMBER(E24),1,0),IF(AH24="",0,IF(IF($U$35=1,COUNTIF($AH$6:$AK$25,"&gt;"&amp;AH24),COUNTIF($AM$6:$AP$25,"&gt;"&amp;AH24))+COUNTIF($AH$6:$AK$23,AH24)+1&lt;=$U$45,1,0)))</f>
        <v>0</v>
      </c>
      <c r="AS24" s="15" t="n">
        <f aca="false">IF(Y24=1,IF(ISNUMBER(F24),1,0),IF(AI24="",0,IF(IF($U$35=1,COUNTIF($AH$6:$AK$25,"&gt;"&amp;AI24),COUNTIF($AM$6:$AP$25,"&gt;"&amp;AI24))+COUNTIF($AH$6:$AK$23,AI24)+COUNTIF($AH24:AH24,AI24)+1&lt;=$U$45,1,0)))</f>
        <v>0</v>
      </c>
      <c r="AT24" s="15" t="n">
        <f aca="false">IF(Y24=1,IF(ISNUMBER(G24),1,0),IF(AJ24="",0,IF(IF($U$35=1,COUNTIF($AH$6:$AK$25,"&gt;"&amp;AJ24),COUNTIF($AM$6:$AP$25,"&gt;"&amp;AJ24))+COUNTIF($AH$6:$AK$23,AJ24)+COUNTIF($AH24:AI24,AJ24)+1&lt;=$U$45,1,0)))</f>
        <v>0</v>
      </c>
      <c r="AU24" s="15" t="n">
        <f aca="false">IF(Y24=1,IF(ISNUMBER(H24),1,0),IF(AK24="",0,IF(IF($U$35=1,COUNTIF($AH$6:$AK$25,"&gt;"&amp;AK24),COUNTIF($AM$6:$AP$25,"&gt;"&amp;AK24))+COUNTIF($AH$6:$AK$23,AK24)+COUNTIF($AH24:AJ24,AK24)+1&lt;=$U$45,1,0)))</f>
        <v>0</v>
      </c>
      <c r="BZ24" s="15" t="n">
        <f aca="false">IFERROR(LARGE($AH$6:$AK$25,23),0)</f>
        <v>0</v>
      </c>
      <c r="CA24" s="15" t="n">
        <f aca="false">CA23+BZ24</f>
        <v>0</v>
      </c>
      <c r="CB24" s="15" t="n">
        <f aca="false">IFERROR(LARGE($AM$6:$AP$25,23),0)</f>
        <v>0</v>
      </c>
      <c r="CC24" s="15" t="n">
        <f aca="false">CC23+CB24</f>
        <v>0</v>
      </c>
    </row>
    <row r="25" customFormat="false" ht="15" hidden="false" customHeight="false" outlineLevel="0" collapsed="false">
      <c r="B25" s="36" t="s">
        <v>217</v>
      </c>
      <c r="C25" s="37"/>
      <c r="D25" s="38"/>
      <c r="E25" s="24"/>
      <c r="F25" s="24"/>
      <c r="G25" s="24"/>
      <c r="H25" s="24"/>
      <c r="I25" s="39"/>
      <c r="J25" s="39"/>
      <c r="L25" s="42" t="s">
        <v>221</v>
      </c>
      <c r="M25" s="43" t="str">
        <f aca="false">IF($U$4=0,"",IF($U$65=1,"✓ erfüllt","✗ nicht erfüllt"))</f>
        <v/>
      </c>
      <c r="N25" s="36" t="str">
        <f aca="false">IF($U$4=0,"",$U$64&amp;" Punkte")</f>
        <v/>
      </c>
      <c r="T25" s="15" t="s">
        <v>218</v>
      </c>
      <c r="U25" s="15" t="n">
        <f aca="false">BX6+BX7+BX8+BX9+BX10</f>
        <v>0</v>
      </c>
      <c r="X25" s="15" t="n">
        <f aca="false">IF(OR(LEN(TRIM(C25))&gt;0,COUNT(E25:H25)&gt;0),1,0)</f>
        <v>0</v>
      </c>
      <c r="Y25" s="15" t="n">
        <f aca="false">IF(LEN(TRIM(D25))&gt;0,1,0)</f>
        <v>0</v>
      </c>
      <c r="Z25" s="15" t="n">
        <f aca="false">Y25*SUM(E25:H25)</f>
        <v>0</v>
      </c>
      <c r="AA25" s="15" t="n">
        <f aca="false">Y25*COUNT(E25:H25)</f>
        <v>0</v>
      </c>
      <c r="AB25" s="15" t="n">
        <f aca="false">Y25*COUNTIF(E25:H25,"&lt;5")</f>
        <v>0</v>
      </c>
      <c r="AC25" s="15" t="n">
        <f aca="false">Y25*COUNTIF(E25:H25,0)</f>
        <v>0</v>
      </c>
      <c r="AD25" s="15" t="n">
        <f aca="false">Y25*(SUM(E25:H25)+X25*$U$2*(4-COUNT(E25:H25)))</f>
        <v>0</v>
      </c>
      <c r="AE25" s="15" t="n">
        <f aca="false">Y25*(COUNT(E25:H25)+X25*(4-COUNT(E25:H25)))</f>
        <v>0</v>
      </c>
      <c r="AF25" s="15" t="n">
        <f aca="false">Y25*(COUNTIF(E25:H25,"&lt;5")+X25*IF($U$2&lt;5,1,0)*(4-COUNT(E25:H25)))</f>
        <v>0</v>
      </c>
      <c r="AH25" s="15" t="str">
        <f aca="false">IF(Y25=1,"",IF(ISNUMBER(E25),IF(E25=0,"",E25),""))</f>
        <v/>
      </c>
      <c r="AI25" s="15" t="str">
        <f aca="false">IF(Y25=1,"",IF(ISNUMBER(F25),IF(F25=0,"",F25),""))</f>
        <v/>
      </c>
      <c r="AJ25" s="15" t="str">
        <f aca="false">IF(Y25=1,"",IF(ISNUMBER(G25),IF(G25=0,"",G25),""))</f>
        <v/>
      </c>
      <c r="AK25" s="15" t="str">
        <f aca="false">IF(Y25=1,"",IF(ISNUMBER(H25),IF(H25=0,"",H25),""))</f>
        <v/>
      </c>
      <c r="AM25" s="15" t="str">
        <f aca="false">IF(Y25=1,"",IF(ISNUMBER(E25),IF(E25=0,"",E25),IF(X25=1,$U$2,"")))</f>
        <v/>
      </c>
      <c r="AN25" s="15" t="str">
        <f aca="false">IF(Y25=1,"",IF(ISNUMBER(F25),IF(F25=0,"",F25),IF(X25=1,$U$2,"")))</f>
        <v/>
      </c>
      <c r="AO25" s="15" t="str">
        <f aca="false">IF(Y25=1,"",IF(ISNUMBER(G25),IF(G25=0,"",G25),IF(X25=1,$U$2,"")))</f>
        <v/>
      </c>
      <c r="AP25" s="15" t="str">
        <f aca="false">IF(Y25=1,"",IF(ISNUMBER(H25),IF(H25=0,"",H25),IF(X25=1,$U$2,"")))</f>
        <v/>
      </c>
      <c r="AR25" s="15" t="n">
        <f aca="false">IF(Y25=1,IF(ISNUMBER(E25),1,0),IF(AH25="",0,IF(IF($U$35=1,COUNTIF($AH$6:$AK$25,"&gt;"&amp;AH25),COUNTIF($AM$6:$AP$25,"&gt;"&amp;AH25))+COUNTIF($AH$6:$AK$24,AH25)+1&lt;=$U$45,1,0)))</f>
        <v>0</v>
      </c>
      <c r="AS25" s="15" t="n">
        <f aca="false">IF(Y25=1,IF(ISNUMBER(F25),1,0),IF(AI25="",0,IF(IF($U$35=1,COUNTIF($AH$6:$AK$25,"&gt;"&amp;AI25),COUNTIF($AM$6:$AP$25,"&gt;"&amp;AI25))+COUNTIF($AH$6:$AK$24,AI25)+COUNTIF($AH25:AH25,AI25)+1&lt;=$U$45,1,0)))</f>
        <v>0</v>
      </c>
      <c r="AT25" s="15" t="n">
        <f aca="false">IF(Y25=1,IF(ISNUMBER(G25),1,0),IF(AJ25="",0,IF(IF($U$35=1,COUNTIF($AH$6:$AK$25,"&gt;"&amp;AJ25),COUNTIF($AM$6:$AP$25,"&gt;"&amp;AJ25))+COUNTIF($AH$6:$AK$24,AJ25)+COUNTIF($AH25:AI25,AJ25)+1&lt;=$U$45,1,0)))</f>
        <v>0</v>
      </c>
      <c r="AU25" s="15" t="n">
        <f aca="false">IF(Y25=1,IF(ISNUMBER(H25),1,0),IF(AK25="",0,IF(IF($U$35=1,COUNTIF($AH$6:$AK$25,"&gt;"&amp;AK25),COUNTIF($AM$6:$AP$25,"&gt;"&amp;AK25))+COUNTIF($AH$6:$AK$24,AK25)+COUNTIF($AH25:AJ25,AK25)+1&lt;=$U$45,1,0)))</f>
        <v>0</v>
      </c>
      <c r="BZ25" s="15" t="n">
        <f aca="false">IFERROR(LARGE($AH$6:$AK$25,24),0)</f>
        <v>0</v>
      </c>
      <c r="CA25" s="15" t="n">
        <f aca="false">CA24+BZ25</f>
        <v>0</v>
      </c>
      <c r="CB25" s="15" t="n">
        <f aca="false">IFERROR(LARGE($AM$6:$AP$25,24),0)</f>
        <v>0</v>
      </c>
      <c r="CC25" s="15" t="n">
        <f aca="false">CC24+CB25</f>
        <v>0</v>
      </c>
    </row>
    <row r="26" customFormat="false" ht="15" hidden="false" customHeight="false" outlineLevel="0" collapsed="false">
      <c r="T26" s="15" t="s">
        <v>220</v>
      </c>
      <c r="U26" s="15" t="n">
        <f aca="false">3</f>
        <v>3</v>
      </c>
      <c r="BZ26" s="15" t="n">
        <f aca="false">IFERROR(LARGE($AH$6:$AK$25,25),0)</f>
        <v>0</v>
      </c>
      <c r="CA26" s="15" t="n">
        <f aca="false">CA25+BZ26</f>
        <v>0</v>
      </c>
      <c r="CB26" s="15" t="n">
        <f aca="false">IFERROR(LARGE($AM$6:$AP$25,25),0)</f>
        <v>0</v>
      </c>
      <c r="CC26" s="15" t="n">
        <f aca="false">CC25+CB26</f>
        <v>0</v>
      </c>
    </row>
    <row r="27" customFormat="false" ht="15" hidden="false" customHeight="false" outlineLevel="0" collapsed="false">
      <c r="L27" s="44" t="s">
        <v>226</v>
      </c>
      <c r="T27" s="15" t="s">
        <v>222</v>
      </c>
      <c r="U27" s="15" t="n">
        <f aca="false">IF(ISNUMBER($I$6),0,1)+IF(ISNUMBER($I$7),0,1)+IF(ISNUMBER($I$8),0,1)+IF(ISNUMBER($I$9),0,1)+IF(ISNUMBER($I$10),0,1)</f>
        <v>5</v>
      </c>
      <c r="BZ27" s="15" t="n">
        <f aca="false">IFERROR(LARGE($AH$6:$AK$25,26),0)</f>
        <v>0</v>
      </c>
      <c r="CA27" s="15" t="n">
        <f aca="false">CA26+BZ27</f>
        <v>0</v>
      </c>
      <c r="CB27" s="15" t="n">
        <f aca="false">IFERROR(LARGE($AM$6:$AP$25,26),0)</f>
        <v>0</v>
      </c>
      <c r="CC27" s="15" t="n">
        <f aca="false">CC26+CB27</f>
        <v>0</v>
      </c>
    </row>
    <row r="28" customFormat="false" ht="15" hidden="false" customHeight="false" outlineLevel="0" collapsed="false">
      <c r="B28" s="5" t="s">
        <v>390</v>
      </c>
      <c r="L28" s="8" t="s">
        <v>229</v>
      </c>
      <c r="T28" s="15" t="s">
        <v>224</v>
      </c>
      <c r="U28" s="15" t="n">
        <f aca="false">IF($U$16&gt;=100,1,0)</f>
        <v>0</v>
      </c>
      <c r="BZ28" s="15" t="n">
        <f aca="false">IFERROR(LARGE($AH$6:$AK$25,27),0)</f>
        <v>0</v>
      </c>
      <c r="CA28" s="15" t="n">
        <f aca="false">CA27+BZ28</f>
        <v>0</v>
      </c>
      <c r="CB28" s="15" t="n">
        <f aca="false">IFERROR(LARGE($AM$6:$AP$25,27),0)</f>
        <v>0</v>
      </c>
      <c r="CC28" s="15" t="n">
        <f aca="false">CC27+CB28</f>
        <v>0</v>
      </c>
    </row>
    <row r="29" customFormat="false" ht="15" hidden="false" customHeight="false" outlineLevel="0" collapsed="false">
      <c r="B29" s="12" t="s">
        <v>391</v>
      </c>
      <c r="L29" s="45" t="s">
        <v>232</v>
      </c>
      <c r="T29" s="15" t="s">
        <v>227</v>
      </c>
      <c r="U29" s="15" t="n">
        <f aca="false">IF(AND($U$17&gt;=$U$26,$U$18&gt;=1),1,0)</f>
        <v>0</v>
      </c>
      <c r="BZ29" s="15" t="n">
        <f aca="false">IFERROR(LARGE($AH$6:$AK$25,28),0)</f>
        <v>0</v>
      </c>
      <c r="CA29" s="15" t="n">
        <f aca="false">CA28+BZ29</f>
        <v>0</v>
      </c>
      <c r="CB29" s="15" t="n">
        <f aca="false">IFERROR(LARGE($AM$6:$AP$25,28),0)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">
        <v>392</v>
      </c>
      <c r="L30" s="46" t="s">
        <v>235</v>
      </c>
      <c r="T30" s="15" t="s">
        <v>233</v>
      </c>
      <c r="U30" s="15" t="n">
        <f aca="false">$U$28*$U$29</f>
        <v>0</v>
      </c>
      <c r="BZ30" s="15" t="n">
        <f aca="false">IFERROR(LARGE($AH$6:$AK$25,29),0)</f>
        <v>0</v>
      </c>
      <c r="CA30" s="15" t="n">
        <f aca="false">CA29+BZ30</f>
        <v>0</v>
      </c>
      <c r="CB30" s="15" t="n">
        <f aca="false">IFERROR(LARGE($AM$6:$AP$25,29),0)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393</v>
      </c>
      <c r="L31" s="47" t="s">
        <v>238</v>
      </c>
      <c r="T31" s="15" t="s">
        <v>236</v>
      </c>
      <c r="U31" s="15" t="n">
        <f aca="false">IF($U$21&gt;=100,1,0)</f>
        <v>1</v>
      </c>
      <c r="BZ31" s="15" t="n">
        <f aca="false">IFERROR(LARGE($AH$6:$AK$25,30),0)</f>
        <v>0</v>
      </c>
      <c r="CA31" s="15" t="n">
        <f aca="false">CA30+BZ31</f>
        <v>0</v>
      </c>
      <c r="CB31" s="15" t="n">
        <f aca="false">IFERROR(LARGE($AM$6:$AP$25,30),0)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382</v>
      </c>
      <c r="T32" s="15" t="s">
        <v>239</v>
      </c>
      <c r="U32" s="15" t="n">
        <f aca="false">IF(AND($U$22&gt;=$U$26,$U$23&gt;=1),1,0)</f>
        <v>1</v>
      </c>
      <c r="BZ32" s="15" t="n">
        <f aca="false">IFERROR(LARGE($AH$6:$AK$25,31),0)</f>
        <v>0</v>
      </c>
      <c r="CA32" s="15" t="n">
        <f aca="false">CA31+BZ32</f>
        <v>0</v>
      </c>
      <c r="CB32" s="15" t="n">
        <f aca="false">IFERROR(LARGE($AM$6:$AP$25,31),0)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394</v>
      </c>
      <c r="L33" s="48" t="s">
        <v>242</v>
      </c>
      <c r="T33" s="15" t="s">
        <v>243</v>
      </c>
      <c r="U33" s="15" t="n">
        <f aca="false">$U$31*$U$32</f>
        <v>1</v>
      </c>
      <c r="BZ33" s="15" t="n">
        <f aca="false">IFERROR(LARGE($AH$6:$AK$25,32),0)</f>
        <v>0</v>
      </c>
      <c r="CA33" s="15" t="n">
        <f aca="false">CA32+BZ33</f>
        <v>0</v>
      </c>
      <c r="CB33" s="15" t="n">
        <f aca="false">IFERROR(LARGE($AM$6:$AP$25,32),0)</f>
        <v>0</v>
      </c>
      <c r="CC33" s="15" t="n">
        <f aca="false">CC32+CB33</f>
        <v>0</v>
      </c>
    </row>
    <row r="34" customFormat="false" ht="15" hidden="false" customHeight="false" outlineLevel="0" collapsed="false">
      <c r="L34" s="48" t="s">
        <v>245</v>
      </c>
      <c r="T34" s="15" t="s">
        <v>246</v>
      </c>
      <c r="U34" s="15" t="n">
        <f aca="false">INDEX($DG$3:$DG$3,$U$13)+$U$27</f>
        <v>41</v>
      </c>
      <c r="BZ34" s="15" t="n">
        <f aca="false">IFERROR(LARGE($AH$6:$AK$25,33),0)</f>
        <v>0</v>
      </c>
      <c r="CA34" s="15" t="n">
        <f aca="false">CA33+BZ34</f>
        <v>0</v>
      </c>
      <c r="CB34" s="15" t="n">
        <f aca="false">IFERROR(LARGE($AM$6:$AP$25,33),0)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8" t="s">
        <v>395</v>
      </c>
      <c r="T35" s="15" t="s">
        <v>247</v>
      </c>
      <c r="U35" s="15" t="n">
        <f aca="false">IF($U$34=0,1,0)</f>
        <v>0</v>
      </c>
      <c r="BZ35" s="15" t="n">
        <f aca="false">IFERROR(LARGE($AH$6:$AK$25,34),0)</f>
        <v>0</v>
      </c>
      <c r="CA35" s="15" t="n">
        <f aca="false">CA34+BZ35</f>
        <v>0</v>
      </c>
      <c r="CB35" s="15" t="n">
        <f aca="false">IFERROR(LARGE($AM$6:$AP$25,34),0)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49" t="s">
        <v>396</v>
      </c>
      <c r="T36" s="15" t="s">
        <v>249</v>
      </c>
      <c r="U36" s="15" t="n">
        <f aca="false">IF($U$35=1,INDEX($CQ$3:$CQ$3,$U$13),INDEX($CQ$23:$CQ$23,$U$14))</f>
        <v>280</v>
      </c>
      <c r="BZ36" s="15" t="n">
        <f aca="false">IFERROR(LARGE($AH$6:$AK$25,35),0)</f>
        <v>0</v>
      </c>
      <c r="CA36" s="15" t="n">
        <f aca="false">CA35+BZ36</f>
        <v>0</v>
      </c>
      <c r="CB36" s="15" t="n">
        <f aca="false">IFERROR(LARGE($AM$6:$AP$25,35),0)</f>
        <v>0</v>
      </c>
      <c r="CC36" s="15" t="n">
        <f aca="false">CC35+CB36</f>
        <v>0</v>
      </c>
    </row>
    <row r="37" customFormat="false" ht="15" hidden="false" customHeight="false" outlineLevel="0" collapsed="false">
      <c r="T37" s="15" t="s">
        <v>251</v>
      </c>
      <c r="U37" s="15" t="n">
        <f aca="false">IF($U$35=1,INDEX($CK$3:$CK$3,$U$13),INDEX($CK$23:$CK$23,$U$14))</f>
        <v>36</v>
      </c>
      <c r="BZ37" s="15" t="n">
        <f aca="false">IFERROR(LARGE($AH$6:$AK$25,36),0)</f>
        <v>0</v>
      </c>
      <c r="CA37" s="15" t="n">
        <f aca="false">CA36+BZ37</f>
        <v>0</v>
      </c>
      <c r="CB37" s="15" t="n">
        <f aca="false">IFERROR(LARGE($AM$6:$AP$25,36),0)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0" t="s">
        <v>397</v>
      </c>
      <c r="T38" s="15" t="s">
        <v>252</v>
      </c>
      <c r="U38" s="15" t="n">
        <f aca="false">IF($U$35=1,INDEX($CR$3:$CR$3,$U$13),INDEX($CR$23:$CR$23,$U$14))</f>
        <v>0</v>
      </c>
      <c r="BZ38" s="15" t="n">
        <f aca="false">IFERROR(LARGE($AH$6:$AK$25,37),0)</f>
        <v>0</v>
      </c>
      <c r="CA38" s="15" t="n">
        <f aca="false">CA37+BZ38</f>
        <v>0</v>
      </c>
      <c r="CB38" s="15" t="n">
        <f aca="false">IFERROR(LARGE($AM$6:$AP$25,37),0)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1" t="s">
        <v>250</v>
      </c>
      <c r="T39" s="15" t="s">
        <v>253</v>
      </c>
      <c r="U39" s="15" t="n">
        <f aca="false">IF($U$35=1,INDEX($CS$3:$CS$3,$U$13),INDEX($CS$23:$CS$23,$U$14))</f>
        <v>7</v>
      </c>
      <c r="BZ39" s="15" t="n">
        <f aca="false">IFERROR(LARGE($AH$6:$AK$25,38),0)</f>
        <v>0</v>
      </c>
      <c r="CA39" s="15" t="n">
        <f aca="false">CA38+BZ39</f>
        <v>0</v>
      </c>
      <c r="CB39" s="15" t="n">
        <f aca="false">IFERROR(LARGE($AM$6:$AP$25,38),0)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254</v>
      </c>
      <c r="U40" s="15" t="n">
        <f aca="false">IF($U$35=1,INDEX($CT$3:$CT$3,$U$13),INDEX($CT$23:$CT$23,$U$14))</f>
        <v>0</v>
      </c>
      <c r="BZ40" s="15" t="n">
        <f aca="false">IFERROR(LARGE($AH$6:$AK$25,39),0)</f>
        <v>0</v>
      </c>
      <c r="CA40" s="15" t="n">
        <f aca="false">CA39+BZ40</f>
        <v>0</v>
      </c>
      <c r="CB40" s="15" t="n">
        <f aca="false">IFERROR(LARGE($AM$6:$AP$25,39),0)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255</v>
      </c>
      <c r="U41" s="15" t="n">
        <f aca="false">IF($U$35=1,INDEX($CL$3:$CL$3,$U$13),INDEX($CL$23:$CL$23,$U$14))</f>
        <v>112</v>
      </c>
      <c r="BZ41" s="15" t="n">
        <f aca="false">IFERROR(LARGE($AH$6:$AK$25,40),0)</f>
        <v>0</v>
      </c>
      <c r="CA41" s="15" t="n">
        <f aca="false">CA40+BZ41</f>
        <v>0</v>
      </c>
      <c r="CB41" s="15" t="n">
        <f aca="false">IFERROR(LARGE($AM$6:$AP$25,40),0)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256</v>
      </c>
      <c r="U42" s="15" t="n">
        <f aca="false">IF($U$35=1,INDEX($CU$3:$CU$3,$U$13),INDEX($CU$23:$CU$23,$U$14))</f>
        <v>196</v>
      </c>
      <c r="BZ42" s="15" t="n">
        <f aca="false">IFERROR(LARGE($AH$6:$AK$25,41),0)</f>
        <v>0</v>
      </c>
      <c r="CA42" s="15" t="n">
        <f aca="false">CA41+BZ42</f>
        <v>0</v>
      </c>
      <c r="CB42" s="15" t="n">
        <f aca="false">IFERROR(LARGE($AM$6:$AP$25,41),0)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257</v>
      </c>
      <c r="U43" s="15" t="n">
        <f aca="false">IF($U$35=1,INDEX($CP$3:$CP$3,$U$13),INDEX($CP$23:$CP$23,$U$14))</f>
        <v>44</v>
      </c>
      <c r="BZ43" s="15" t="n">
        <f aca="false">IFERROR(LARGE($AH$6:$AK$25,42),0)</f>
        <v>0</v>
      </c>
      <c r="CA43" s="15" t="n">
        <f aca="false">CA42+BZ43</f>
        <v>0</v>
      </c>
      <c r="CB43" s="15" t="n">
        <f aca="false">IFERROR(LARGE($AM$6:$AP$25,42),0)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258</v>
      </c>
      <c r="U44" s="15" t="n">
        <f aca="false">IF($U$35=1,INDEX($CO$3:$CO$3,$U$13),INDEX($CO$23:$CO$23,$U$14))</f>
        <v>308</v>
      </c>
      <c r="BZ44" s="15" t="n">
        <f aca="false">IFERROR(LARGE($AH$6:$AK$25,43),0)</f>
        <v>0</v>
      </c>
      <c r="CA44" s="15" t="n">
        <f aca="false">CA43+BZ44</f>
        <v>0</v>
      </c>
      <c r="CB44" s="15" t="n">
        <f aca="false">IFERROR(LARGE($AM$6:$AP$25,43),0)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259</v>
      </c>
      <c r="U45" s="15" t="n">
        <f aca="false">IF($U$35=1,INDEX($CH$3:$CH$3,$U$13),INDEX($CH$23:$CH$23,$U$14))</f>
        <v>0</v>
      </c>
      <c r="BZ45" s="15" t="n">
        <f aca="false">IFERROR(LARGE($AH$6:$AK$25,44),0)</f>
        <v>0</v>
      </c>
      <c r="CA45" s="15" t="n">
        <f aca="false">CA44+BZ45</f>
        <v>0</v>
      </c>
      <c r="CB45" s="15" t="n">
        <f aca="false">IFERROR(LARGE($AM$6:$AP$25,44),0)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260</v>
      </c>
      <c r="U46" s="15" t="n">
        <f aca="false">IF($U$35=1,INDEX($DF$3:$DF$3,$U$13),INDEX($DF$23:$DF$23,$U$14))</f>
        <v>1</v>
      </c>
      <c r="BZ46" s="15" t="n">
        <f aca="false">IFERROR(LARGE($AH$6:$AK$25,45),0)</f>
        <v>0</v>
      </c>
      <c r="CA46" s="15" t="n">
        <f aca="false">CA45+BZ46</f>
        <v>0</v>
      </c>
      <c r="CB46" s="15" t="n">
        <f aca="false">IFERROR(LARGE($AM$6:$AP$25,45),0)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261</v>
      </c>
      <c r="U47" s="15" t="n">
        <f aca="false">IF($U$35=1,INDEX($CV$3:$CV$3,$U$13),INDEX($CV$23:$CV$23,$U$14))</f>
        <v>1</v>
      </c>
      <c r="BZ47" s="15" t="n">
        <f aca="false">IFERROR(LARGE($AH$6:$AK$25,46),0)</f>
        <v>0</v>
      </c>
      <c r="CA47" s="15" t="n">
        <f aca="false">CA46+BZ47</f>
        <v>0</v>
      </c>
      <c r="CB47" s="15" t="n">
        <f aca="false">IFERROR(LARGE($AM$6:$AP$25,46),0)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262</v>
      </c>
      <c r="U48" s="15" t="n">
        <f aca="false">IF($U$35=1,INDEX($CW$3:$CW$3,$U$13),INDEX($CW$23:$CW$23,$U$14))</f>
        <v>1</v>
      </c>
      <c r="BZ48" s="15" t="n">
        <f aca="false">IFERROR(LARGE($AH$6:$AK$25,47),0)</f>
        <v>0</v>
      </c>
      <c r="CA48" s="15" t="n">
        <f aca="false">CA47+BZ48</f>
        <v>0</v>
      </c>
      <c r="CB48" s="15" t="n">
        <f aca="false">IFERROR(LARGE($AM$6:$AP$25,47),0)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263</v>
      </c>
      <c r="U49" s="15" t="n">
        <f aca="false">IF($U$35=1,INDEX($CX$3:$CX$3,$U$13),INDEX($CX$23:$CX$23,$U$14))</f>
        <v>1</v>
      </c>
      <c r="BZ49" s="15" t="n">
        <f aca="false">IFERROR(LARGE($AH$6:$AK$25,48),0)</f>
        <v>0</v>
      </c>
      <c r="CA49" s="15" t="n">
        <f aca="false">CA48+BZ49</f>
        <v>0</v>
      </c>
      <c r="CB49" s="15" t="n">
        <f aca="false">IFERROR(LARGE($AM$6:$AP$25,48),0)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264</v>
      </c>
      <c r="U50" s="15" t="n">
        <f aca="false">IF($U$35=1,INDEX($CY$3:$CY$3,$U$13),INDEX($CY$23:$CY$23,$U$14))</f>
        <v>1</v>
      </c>
      <c r="BZ50" s="15" t="n">
        <f aca="false">IFERROR(LARGE($AH$6:$AK$25,49),0)</f>
        <v>0</v>
      </c>
      <c r="CA50" s="15" t="n">
        <f aca="false">CA49+BZ50</f>
        <v>0</v>
      </c>
      <c r="CB50" s="15" t="n">
        <f aca="false">IFERROR(LARGE($AM$6:$AP$25,49),0)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265</v>
      </c>
      <c r="U51" s="15" t="n">
        <f aca="false">IF($U$35=1,INDEX($CZ$3:$CZ$3,$U$13),INDEX($CZ$23:$CZ$23,$U$14))</f>
        <v>1</v>
      </c>
      <c r="BZ51" s="15" t="n">
        <f aca="false">IFERROR(LARGE($AH$6:$AK$25,50),0)</f>
        <v>0</v>
      </c>
      <c r="CA51" s="15" t="n">
        <f aca="false">CA50+BZ51</f>
        <v>0</v>
      </c>
      <c r="CB51" s="15" t="n">
        <f aca="false">IFERROR(LARGE($AM$6:$AP$25,50),0)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266</v>
      </c>
      <c r="U52" s="15" t="n">
        <f aca="false">IF($U$35=1,INDEX($DA$3:$DA$3,$U$13),INDEX($DA$23:$DA$23,$U$14))</f>
        <v>1</v>
      </c>
      <c r="BZ52" s="15" t="n">
        <f aca="false">IFERROR(LARGE($AH$6:$AK$25,51),0)</f>
        <v>0</v>
      </c>
      <c r="CA52" s="15" t="n">
        <f aca="false">CA51+BZ52</f>
        <v>0</v>
      </c>
      <c r="CB52" s="15" t="n">
        <f aca="false">IFERROR(LARGE($AM$6:$AP$25,51),0)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267</v>
      </c>
      <c r="U53" s="15" t="n">
        <f aca="false">IF($U$35=1,INDEX($DB$3:$DB$3,$U$13),INDEX($DB$23:$DB$23,$U$14))</f>
        <v>1</v>
      </c>
      <c r="BZ53" s="15" t="n">
        <f aca="false">IFERROR(LARGE($AH$6:$AK$25,52),0)</f>
        <v>0</v>
      </c>
      <c r="CA53" s="15" t="n">
        <f aca="false">CA52+BZ53</f>
        <v>0</v>
      </c>
      <c r="CB53" s="15" t="n">
        <f aca="false">IFERROR(LARGE($AM$6:$AP$25,52),0)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268</v>
      </c>
      <c r="U54" s="15" t="n">
        <f aca="false">IF($U$35=1,INDEX($DC$3:$DC$3,$U$13),INDEX($DC$23:$DC$23,$U$14))</f>
        <v>1</v>
      </c>
      <c r="BZ54" s="15" t="n">
        <f aca="false">IFERROR(LARGE($AH$6:$AK$25,53),0)</f>
        <v>0</v>
      </c>
      <c r="CA54" s="15" t="n">
        <f aca="false">CA53+BZ54</f>
        <v>0</v>
      </c>
      <c r="CB54" s="15" t="n">
        <f aca="false">IFERROR(LARGE($AM$6:$AP$25,53),0)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269</v>
      </c>
      <c r="U55" s="15" t="n">
        <f aca="false">IF($U$35=1,INDEX($DD$3:$DD$3,$U$13),INDEX($DD$23:$DD$23,$U$14))</f>
        <v>1</v>
      </c>
      <c r="BZ55" s="15" t="n">
        <f aca="false">IFERROR(LARGE($AH$6:$AK$25,54),0)</f>
        <v>0</v>
      </c>
      <c r="CA55" s="15" t="n">
        <f aca="false">CA54+BZ55</f>
        <v>0</v>
      </c>
      <c r="CB55" s="15" t="n">
        <f aca="false">IFERROR(LARGE($AM$6:$AP$25,54),0)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270</v>
      </c>
      <c r="U56" s="15" t="n">
        <f aca="false">IF($U$35=1,INDEX($DE$3:$DE$3,$U$13),INDEX($DE$23:$DE$23,$U$14))</f>
        <v>1</v>
      </c>
      <c r="BZ56" s="15" t="n">
        <f aca="false">IFERROR(LARGE($AH$6:$AK$25,55),0)</f>
        <v>0</v>
      </c>
      <c r="CA56" s="15" t="n">
        <f aca="false">CA55+BZ56</f>
        <v>0</v>
      </c>
      <c r="CB56" s="15" t="n">
        <f aca="false">IFERROR(LARGE($AM$6:$AP$25,55),0)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271</v>
      </c>
      <c r="U57" s="15" t="n">
        <f aca="false">IF($U$35=1,$U$13,$U$14)</f>
        <v>1</v>
      </c>
      <c r="BZ57" s="15" t="n">
        <f aca="false">IFERROR(LARGE($AH$6:$AK$25,56),0)</f>
        <v>0</v>
      </c>
      <c r="CA57" s="15" t="n">
        <f aca="false">CA56+BZ57</f>
        <v>0</v>
      </c>
      <c r="CB57" s="15" t="n">
        <f aca="false">IFERROR(LARGE($AM$6:$AP$25,56),0)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272</v>
      </c>
      <c r="U58" s="15" t="n">
        <f aca="false">IF($U$35=1,$U$9,$V$9)</f>
        <v>0</v>
      </c>
    </row>
    <row r="59" customFormat="false" ht="15" hidden="false" customHeight="false" outlineLevel="0" collapsed="false">
      <c r="T59" s="15" t="s">
        <v>273</v>
      </c>
      <c r="U59" s="15" t="n">
        <f aca="false">IF($U$35=1,$U$16,$U$21)</f>
        <v>140</v>
      </c>
    </row>
    <row r="60" customFormat="false" ht="15" hidden="false" customHeight="false" outlineLevel="0" collapsed="false">
      <c r="T60" s="15" t="s">
        <v>274</v>
      </c>
      <c r="U60" s="15" t="n">
        <f aca="false">IF($U$35=1,$U$17,$U$22)</f>
        <v>5</v>
      </c>
    </row>
    <row r="61" customFormat="false" ht="15" hidden="false" customHeight="false" outlineLevel="0" collapsed="false">
      <c r="T61" s="15" t="s">
        <v>275</v>
      </c>
      <c r="U61" s="15" t="n">
        <f aca="false">IF($U$35=1,$U$28,$U$31)</f>
        <v>1</v>
      </c>
    </row>
    <row r="62" customFormat="false" ht="15" hidden="false" customHeight="false" outlineLevel="0" collapsed="false">
      <c r="T62" s="15" t="s">
        <v>276</v>
      </c>
      <c r="U62" s="15" t="n">
        <f aca="false">IF($U$35=1,$U$29,$U$32)</f>
        <v>1</v>
      </c>
    </row>
    <row r="63" customFormat="false" ht="15" hidden="false" customHeight="false" outlineLevel="0" collapsed="false">
      <c r="T63" s="15" t="s">
        <v>278</v>
      </c>
      <c r="U63" s="15" t="n">
        <f aca="false">IF($U$35=1,$U$30,$U$33)</f>
        <v>1</v>
      </c>
    </row>
    <row r="64" customFormat="false" ht="15" hidden="false" customHeight="false" outlineLevel="0" collapsed="false">
      <c r="T64" s="15" t="s">
        <v>188</v>
      </c>
      <c r="U64" s="15" t="n">
        <f aca="false">$U$36+$U$59</f>
        <v>420</v>
      </c>
    </row>
    <row r="65" customFormat="false" ht="15" hidden="false" customHeight="false" outlineLevel="0" collapsed="false">
      <c r="T65" s="15" t="s">
        <v>279</v>
      </c>
      <c r="U65" s="15" t="n">
        <f aca="false">IF($U$64&gt;=300,1,0)</f>
        <v>1</v>
      </c>
    </row>
    <row r="66" customFormat="false" ht="15" hidden="false" customHeight="false" outlineLevel="0" collapsed="false">
      <c r="T66" s="15" t="s">
        <v>280</v>
      </c>
      <c r="U66" s="15" t="n">
        <f aca="false">IF($U$46*$U$63*$U$65=1,1,0)</f>
        <v>1</v>
      </c>
    </row>
    <row r="67" customFormat="false" ht="15" hidden="false" customHeight="false" outlineLevel="0" collapsed="false">
      <c r="T67" s="15" t="s">
        <v>281</v>
      </c>
      <c r="U67" s="15" t="n">
        <f aca="false">IF($U$64&lt;300,"",MAX(10,MIN(40,INT((1020-$U$64)/18))))</f>
        <v>33</v>
      </c>
    </row>
    <row r="68" customFormat="false" ht="15" hidden="false" customHeight="false" outlineLevel="0" collapsed="false">
      <c r="T68" s="15" t="s">
        <v>282</v>
      </c>
      <c r="U68" s="15" t="n">
        <f aca="false">IF($U$67="",MAX(0,300-$U$64),IF($U$67&gt;10,1021-18*$U$67-$U$64,""))</f>
        <v>7</v>
      </c>
    </row>
    <row r="69" customFormat="false" ht="15" hidden="false" customHeight="false" outlineLevel="0" collapsed="false">
      <c r="T69" s="15" t="s">
        <v>283</v>
      </c>
      <c r="U69" s="15" t="n">
        <f aca="false">IF($U$67="","",$U$64-IF($U$67&gt;=40,300,1020-18*($U$67+1)+1))</f>
        <v>11</v>
      </c>
    </row>
  </sheetData>
  <sheetProtection sheet="true" formatCells="false" formatColumns="false" formatRows="false"/>
  <mergeCells count="1">
    <mergeCell ref="M6:N6"/>
  </mergeCells>
  <conditionalFormatting sqref="E6:H25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10">
    <cfRule type="expression" priority="5" aboveAverage="0" equalAverage="0" bottom="0" percent="0" rank="0" text="" dxfId="3">
      <formula>AND(ISNUMBER(I6),I6&lt;5)</formula>
    </cfRule>
  </conditionalFormatting>
  <conditionalFormatting sqref="M19:M25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2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8 E9:I10 E12:H25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2:D25" type="list">
      <formula1>"x"</formula1>
      <formula2>0</formula2>
    </dataValidation>
  </dataValidations>
  <hyperlinks>
    <hyperlink ref="B36" r:id="rId2" display="https://www.landesrecht-mv.de/bsmv/document/jlr-AbiPrVMVrahmen"/>
    <hyperlink ref="B38" r:id="rId3" display="Online-Rechner Mecklenburg-Vorpommern mit Statistik und PDF-Download: https://www.abi-rechner.com/bundeslander/mecklenburg-vorpommern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Mecklenburg-Vorpommern · abi-rechner.com · Stand September 2026</oddFooter>
  </headerFooter>
  <legacy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398</v>
      </c>
      <c r="T1" s="15" t="s">
        <v>72</v>
      </c>
      <c r="BZ1" s="15" t="s">
        <v>73</v>
      </c>
      <c r="CA1" s="15" t="s">
        <v>74</v>
      </c>
      <c r="CB1" s="15" t="s">
        <v>75</v>
      </c>
      <c r="CC1" s="15" t="s">
        <v>76</v>
      </c>
    </row>
    <row r="2" customFormat="false" ht="15" hidden="false" customHeight="false" outlineLevel="0" collapsed="false">
      <c r="B2" s="2" t="s">
        <v>399</v>
      </c>
      <c r="T2" s="15" t="s">
        <v>78</v>
      </c>
      <c r="U2" s="15" t="n">
        <f aca="false">IFERROR(AVERAGE($E$6:$H$25),7)</f>
        <v>7</v>
      </c>
      <c r="BZ2" s="15" t="n">
        <f aca="false">IFERROR(LARGE($AH$6:$AK$25,1),0)</f>
        <v>0</v>
      </c>
      <c r="CA2" s="15" t="n">
        <f aca="false">BZ2</f>
        <v>0</v>
      </c>
      <c r="CB2" s="15" t="n">
        <f aca="false">IFERROR(LARGE($AM$6:$AP$25,1),0)</f>
        <v>0</v>
      </c>
      <c r="CC2" s="15" t="n">
        <f aca="false">CB2</f>
        <v>0</v>
      </c>
      <c r="CE2" s="15" t="s">
        <v>79</v>
      </c>
      <c r="CF2" s="15" t="s">
        <v>80</v>
      </c>
      <c r="CG2" s="15" t="s">
        <v>81</v>
      </c>
      <c r="CH2" s="15" t="s">
        <v>82</v>
      </c>
      <c r="CI2" s="15" t="s">
        <v>83</v>
      </c>
      <c r="CJ2" s="15" t="s">
        <v>84</v>
      </c>
      <c r="CK2" s="15" t="s">
        <v>85</v>
      </c>
      <c r="CL2" s="15" t="s">
        <v>86</v>
      </c>
      <c r="CM2" s="15" t="s">
        <v>87</v>
      </c>
      <c r="CN2" s="15" t="s">
        <v>88</v>
      </c>
      <c r="CO2" s="15" t="s">
        <v>89</v>
      </c>
      <c r="CP2" s="15" t="s">
        <v>90</v>
      </c>
      <c r="CQ2" s="15" t="s">
        <v>91</v>
      </c>
      <c r="CR2" s="15" t="s">
        <v>92</v>
      </c>
      <c r="CS2" s="15" t="s">
        <v>93</v>
      </c>
      <c r="CT2" s="15" t="s">
        <v>94</v>
      </c>
      <c r="CU2" s="15" t="s">
        <v>95</v>
      </c>
      <c r="CV2" s="15" t="s">
        <v>96</v>
      </c>
      <c r="CW2" s="15" t="s">
        <v>97</v>
      </c>
      <c r="CX2" s="15" t="s">
        <v>98</v>
      </c>
      <c r="CY2" s="15" t="s">
        <v>99</v>
      </c>
      <c r="CZ2" s="15" t="s">
        <v>100</v>
      </c>
      <c r="DA2" s="15" t="s">
        <v>101</v>
      </c>
      <c r="DB2" s="15" t="s">
        <v>102</v>
      </c>
      <c r="DC2" s="15" t="s">
        <v>103</v>
      </c>
      <c r="DD2" s="15" t="s">
        <v>104</v>
      </c>
      <c r="DE2" s="15" t="s">
        <v>105</v>
      </c>
      <c r="DF2" s="15" t="s">
        <v>106</v>
      </c>
      <c r="DG2" s="15" t="s">
        <v>107</v>
      </c>
      <c r="DH2" s="15" t="s">
        <v>108</v>
      </c>
    </row>
    <row r="3" customFormat="false" ht="15" hidden="false" customHeight="false" outlineLevel="0" collapsed="false">
      <c r="B3" s="16" t="s">
        <v>109</v>
      </c>
      <c r="T3" s="15" t="s">
        <v>110</v>
      </c>
      <c r="U3" s="15" t="n">
        <f aca="false">IFERROR(AVERAGE($I$6:$I$10),$U$2)</f>
        <v>7</v>
      </c>
      <c r="BZ3" s="15" t="n">
        <f aca="false">IFERROR(LARGE($AH$6:$AK$25,2),0)</f>
        <v>0</v>
      </c>
      <c r="CA3" s="15" t="n">
        <f aca="false">CA2+BZ3</f>
        <v>0</v>
      </c>
      <c r="CB3" s="15" t="n">
        <f aca="false">IFERROR(LARGE($AM$6:$AP$25,2),0)</f>
        <v>0</v>
      </c>
      <c r="CC3" s="15" t="n">
        <f aca="false">CC2+CB3</f>
        <v>0</v>
      </c>
      <c r="CE3" s="15" t="n">
        <f aca="false">32</f>
        <v>32</v>
      </c>
      <c r="CF3" s="15" t="n">
        <f aca="false">CE3-$U$5-$U$6-0</f>
        <v>12</v>
      </c>
      <c r="CG3" s="15" t="n">
        <f aca="false">MAX(0,CF3)</f>
        <v>12</v>
      </c>
      <c r="CH3" s="15" t="n">
        <f aca="false">MIN(CG3,$U$7)</f>
        <v>0</v>
      </c>
      <c r="CI3" s="15" t="n">
        <f aca="false">CG3-CH3</f>
        <v>12</v>
      </c>
      <c r="CJ3" s="15" t="n">
        <f aca="false">0</f>
        <v>0</v>
      </c>
      <c r="CK3" s="15" t="n">
        <f aca="false">$U$5+CH3+CJ3</f>
        <v>0</v>
      </c>
      <c r="CL3" s="15" t="n">
        <f aca="false">2*AW6+2*AX6+2*AW7+2*AX7+1*AW8+1*AX8</f>
        <v>0</v>
      </c>
      <c r="CM3" s="15" t="n">
        <f aca="false">2*AY6+2*AZ6+2*AY7+2*AZ7+1*AY8+1*AZ8+1*AY9+1*AZ9+1*AY10+1*AZ10+SUM($AA$12:$AA$25)</f>
        <v>0</v>
      </c>
      <c r="CN3" s="15" t="n">
        <f aca="false">IF(CH3=0,0,INDEX($CA$2:$CA$57,CH3))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IF(CP3&gt;0,MIN(600,INT((CO3/CP3*40)+0.5+0.000000001)),0)</f>
        <v>0</v>
      </c>
      <c r="CR3" s="15" t="n">
        <f aca="false">$U$9+CT3</f>
        <v>0</v>
      </c>
      <c r="CS3" s="15" t="n">
        <f aca="false">IF(CK3&lt;32,6,IF(CK3&gt;36,7,CHOOSE(CK3-31,6,6,6,7,7)))</f>
        <v>6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IF($U$9&lt;=3,1,0)</f>
        <v>1</v>
      </c>
      <c r="CY3" s="15" t="n">
        <f aca="false">1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32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111</v>
      </c>
      <c r="U4" s="15" t="n">
        <f aca="false">IF(COUNT($E$6:$H$25,$I$6:$I$10)&gt;0,1,0)</f>
        <v>0</v>
      </c>
      <c r="BZ4" s="15" t="n">
        <f aca="false">IFERROR(LARGE($AH$6:$AK$25,3),0)</f>
        <v>0</v>
      </c>
      <c r="CA4" s="15" t="n">
        <f aca="false">CA3+BZ4</f>
        <v>0</v>
      </c>
      <c r="CB4" s="15" t="n">
        <f aca="false">IFERROR(LARGE($AM$6:$AP$25,3),0)</f>
        <v>0</v>
      </c>
      <c r="CC4" s="15" t="n">
        <f aca="false">CC3+CB4</f>
        <v>0</v>
      </c>
      <c r="CE4" s="15" t="n">
        <f aca="false">33</f>
        <v>33</v>
      </c>
      <c r="CF4" s="15" t="n">
        <f aca="false">CE4-$U$5-$U$6-0</f>
        <v>13</v>
      </c>
      <c r="CG4" s="15" t="n">
        <f aca="false">MAX(0,CF4)</f>
        <v>13</v>
      </c>
      <c r="CH4" s="15" t="n">
        <f aca="false">MIN(CG4,$U$7)</f>
        <v>0</v>
      </c>
      <c r="CI4" s="15" t="n">
        <f aca="false">CG4-CH4</f>
        <v>13</v>
      </c>
      <c r="CJ4" s="15" t="n">
        <f aca="false">0</f>
        <v>0</v>
      </c>
      <c r="CK4" s="15" t="n">
        <f aca="false">$U$5+CH4+CJ4</f>
        <v>0</v>
      </c>
      <c r="CL4" s="15" t="n">
        <f aca="false">2*AW6+2*AX6+2*AW7+2*AX7+1*AW8+1*AX8</f>
        <v>0</v>
      </c>
      <c r="CM4" s="15" t="n">
        <f aca="false">2*AY6+2*AZ6+2*AY7+2*AZ7+1*AY8+1*AZ8+1*AY9+1*AZ9+1*AY10+1*AZ10+SUM($AA$12:$AA$25)</f>
        <v>0</v>
      </c>
      <c r="CN4" s="15" t="n">
        <f aca="false">IF(CH4=0,0,INDEX($CA$2:$CA$57,CH4))</f>
        <v>0</v>
      </c>
      <c r="CO4" s="15" t="n">
        <f aca="false">CL4+$U$11+CN4+CJ4*$U$2</f>
        <v>0</v>
      </c>
      <c r="CP4" s="15" t="n">
        <f aca="false">CM4+CH4+CJ4</f>
        <v>0</v>
      </c>
      <c r="CQ4" s="15" t="n">
        <f aca="false">IF(CP4&gt;0,MIN(600,INT((CO4/CP4*40)+0.5+0.000000001)),0)</f>
        <v>0</v>
      </c>
      <c r="CR4" s="15" t="n">
        <f aca="false">$U$9+CT4</f>
        <v>0</v>
      </c>
      <c r="CS4" s="15" t="n">
        <f aca="false">IF(CK4&lt;32,6,IF(CK4&gt;36,7,CHOOSE(CK4-31,6,6,6,7,7)))</f>
        <v>6</v>
      </c>
      <c r="CT4" s="15" t="n">
        <f aca="false">$U$10+MAX(0,CH4-$U$8)+CJ4*IF($U$2&lt;5,1,0)</f>
        <v>0</v>
      </c>
      <c r="CU4" s="15" t="n">
        <f aca="false">$U$11+CN4+CJ4*$U$2</f>
        <v>0</v>
      </c>
      <c r="CV4" s="15" t="n">
        <f aca="false">IF(CQ4&gt;=200,1,0)</f>
        <v>0</v>
      </c>
      <c r="CW4" s="15" t="n">
        <f aca="false">IF(CR4&lt;=CS4,1,0)</f>
        <v>1</v>
      </c>
      <c r="CX4" s="15" t="n">
        <f aca="false">IF($U$9&lt;=3,1,0)</f>
        <v>1</v>
      </c>
      <c r="CY4" s="15" t="n">
        <f aca="false">1</f>
        <v>1</v>
      </c>
      <c r="CZ4" s="15" t="n">
        <f aca="false">1</f>
        <v>1</v>
      </c>
      <c r="DA4" s="15" t="n">
        <f aca="false">1</f>
        <v>1</v>
      </c>
      <c r="DB4" s="15" t="n">
        <f aca="false">IF($U$12=0,1,0)</f>
        <v>1</v>
      </c>
      <c r="DC4" s="15" t="n">
        <f aca="false">1</f>
        <v>1</v>
      </c>
      <c r="DD4" s="15" t="n">
        <f aca="false">1</f>
        <v>1</v>
      </c>
      <c r="DE4" s="15" t="n">
        <f aca="false">IF(CF4&lt;0,0,1)</f>
        <v>1</v>
      </c>
      <c r="DF4" s="15" t="n">
        <f aca="false">IF(CV4*CW4*CX4*CY4*CZ4*DA4*DB4*DC4*DD4*DE4=1,1,0)</f>
        <v>0</v>
      </c>
      <c r="DG4" s="15" t="n">
        <f aca="false">$U$6+CI4</f>
        <v>33</v>
      </c>
      <c r="DH4" s="15" t="n">
        <f aca="false">DF4*1000000+CQ4*100+(100-CK4)</f>
        <v>100</v>
      </c>
    </row>
    <row r="5" customFormat="false" ht="30" hidden="false" customHeight="true" outlineLevel="0" collapsed="false">
      <c r="B5" s="17" t="s">
        <v>9</v>
      </c>
      <c r="C5" s="17" t="s">
        <v>112</v>
      </c>
      <c r="D5" s="18"/>
      <c r="E5" s="18" t="s">
        <v>113</v>
      </c>
      <c r="F5" s="18" t="s">
        <v>114</v>
      </c>
      <c r="G5" s="18" t="s">
        <v>115</v>
      </c>
      <c r="H5" s="18" t="s">
        <v>116</v>
      </c>
      <c r="I5" s="18" t="s">
        <v>11</v>
      </c>
      <c r="J5" s="18" t="s">
        <v>117</v>
      </c>
      <c r="L5" s="19" t="s">
        <v>118</v>
      </c>
      <c r="M5" s="20"/>
      <c r="N5" s="20"/>
      <c r="T5" s="15" t="s">
        <v>119</v>
      </c>
      <c r="U5" s="15" t="n">
        <f aca="false">AY6+AY7+AY8+AY9+AY10+AZ6+AZ7+AZ8+AZ9+AZ10+SUM($AA$12:$AA$25)</f>
        <v>0</v>
      </c>
      <c r="V5" s="15" t="n">
        <f aca="false">BG6+BG7+BG8+BG9+BG10+BH6+BH7+BH8+BH9+BH10+SUM($AE$12:$AE$25)</f>
        <v>20</v>
      </c>
      <c r="AH5" s="15" t="s">
        <v>120</v>
      </c>
      <c r="AM5" s="15" t="s">
        <v>121</v>
      </c>
      <c r="AR5" s="15" t="s">
        <v>122</v>
      </c>
      <c r="AW5" s="15" t="s">
        <v>123</v>
      </c>
      <c r="AX5" s="15" t="s">
        <v>124</v>
      </c>
      <c r="AY5" s="15" t="s">
        <v>125</v>
      </c>
      <c r="AZ5" s="15" t="s">
        <v>126</v>
      </c>
      <c r="BA5" s="15" t="s">
        <v>127</v>
      </c>
      <c r="BB5" s="15" t="s">
        <v>128</v>
      </c>
      <c r="BC5" s="15" t="s">
        <v>129</v>
      </c>
      <c r="BD5" s="15" t="s">
        <v>130</v>
      </c>
      <c r="BE5" s="15" t="s">
        <v>131</v>
      </c>
      <c r="BF5" s="15" t="s">
        <v>132</v>
      </c>
      <c r="BG5" s="15" t="s">
        <v>133</v>
      </c>
      <c r="BH5" s="15" t="s">
        <v>134</v>
      </c>
      <c r="BI5" s="15" t="s">
        <v>135</v>
      </c>
      <c r="BJ5" s="15" t="s">
        <v>136</v>
      </c>
      <c r="BK5" s="15" t="s">
        <v>137</v>
      </c>
      <c r="BL5" s="15" t="s">
        <v>138</v>
      </c>
      <c r="BN5" s="15" t="s">
        <v>139</v>
      </c>
      <c r="BO5" s="15" t="s">
        <v>140</v>
      </c>
      <c r="BP5" s="15" t="s">
        <v>141</v>
      </c>
      <c r="BQ5" s="15" t="s">
        <v>128</v>
      </c>
      <c r="BR5" s="15" t="s">
        <v>142</v>
      </c>
      <c r="BT5" s="15" t="s">
        <v>143</v>
      </c>
      <c r="BU5" s="15" t="s">
        <v>144</v>
      </c>
      <c r="BV5" s="15" t="s">
        <v>145</v>
      </c>
      <c r="BW5" s="15" t="s">
        <v>136</v>
      </c>
      <c r="BX5" s="15" t="s">
        <v>146</v>
      </c>
      <c r="BZ5" s="15" t="n">
        <f aca="false">IFERROR(LARGE($AH$6:$AK$25,4),0)</f>
        <v>0</v>
      </c>
      <c r="CA5" s="15" t="n">
        <f aca="false">CA4+BZ5</f>
        <v>0</v>
      </c>
      <c r="CB5" s="15" t="n">
        <f aca="false">IFERROR(LARGE($AM$6:$AP$25,4),0)</f>
        <v>0</v>
      </c>
      <c r="CC5" s="15" t="n">
        <f aca="false">CC4+CB5</f>
        <v>0</v>
      </c>
      <c r="CE5" s="15" t="n">
        <f aca="false">34</f>
        <v>34</v>
      </c>
      <c r="CF5" s="15" t="n">
        <f aca="false">CE5-$U$5-$U$6-0</f>
        <v>14</v>
      </c>
      <c r="CG5" s="15" t="n">
        <f aca="false">MAX(0,CF5)</f>
        <v>14</v>
      </c>
      <c r="CH5" s="15" t="n">
        <f aca="false">MIN(CG5,$U$7)</f>
        <v>0</v>
      </c>
      <c r="CI5" s="15" t="n">
        <f aca="false">CG5-CH5</f>
        <v>14</v>
      </c>
      <c r="CJ5" s="15" t="n">
        <f aca="false">0</f>
        <v>0</v>
      </c>
      <c r="CK5" s="15" t="n">
        <f aca="false">$U$5+CH5+CJ5</f>
        <v>0</v>
      </c>
      <c r="CL5" s="15" t="n">
        <f aca="false">2*AW6+2*AX6+2*AW7+2*AX7+1*AW8+1*AX8</f>
        <v>0</v>
      </c>
      <c r="CM5" s="15" t="n">
        <f aca="false">2*AY6+2*AZ6+2*AY7+2*AZ7+1*AY8+1*AZ8+1*AY9+1*AZ9+1*AY10+1*AZ10+SUM($AA$12:$AA$25)</f>
        <v>0</v>
      </c>
      <c r="CN5" s="15" t="n">
        <f aca="false">IF(CH5=0,0,INDEX($CA$2:$CA$57,CH5))</f>
        <v>0</v>
      </c>
      <c r="CO5" s="15" t="n">
        <f aca="false">CL5+$U$11+CN5+CJ5*$U$2</f>
        <v>0</v>
      </c>
      <c r="CP5" s="15" t="n">
        <f aca="false">CM5+CH5+CJ5</f>
        <v>0</v>
      </c>
      <c r="CQ5" s="15" t="n">
        <f aca="false">IF(CP5&gt;0,MIN(600,INT((CO5/CP5*40)+0.5+0.000000001)),0)</f>
        <v>0</v>
      </c>
      <c r="CR5" s="15" t="n">
        <f aca="false">$U$9+CT5</f>
        <v>0</v>
      </c>
      <c r="CS5" s="15" t="n">
        <f aca="false">IF(CK5&lt;32,6,IF(CK5&gt;36,7,CHOOSE(CK5-31,6,6,6,7,7)))</f>
        <v>6</v>
      </c>
      <c r="CT5" s="15" t="n">
        <f aca="false">$U$10+MAX(0,CH5-$U$8)+CJ5*IF($U$2&lt;5,1,0)</f>
        <v>0</v>
      </c>
      <c r="CU5" s="15" t="n">
        <f aca="false">$U$11+CN5+CJ5*$U$2</f>
        <v>0</v>
      </c>
      <c r="CV5" s="15" t="n">
        <f aca="false">IF(CQ5&gt;=200,1,0)</f>
        <v>0</v>
      </c>
      <c r="CW5" s="15" t="n">
        <f aca="false">IF(CR5&lt;=CS5,1,0)</f>
        <v>1</v>
      </c>
      <c r="CX5" s="15" t="n">
        <f aca="false">IF($U$9&lt;=3,1,0)</f>
        <v>1</v>
      </c>
      <c r="CY5" s="15" t="n">
        <f aca="false">1</f>
        <v>1</v>
      </c>
      <c r="CZ5" s="15" t="n">
        <f aca="false">1</f>
        <v>1</v>
      </c>
      <c r="DA5" s="15" t="n">
        <f aca="false">1</f>
        <v>1</v>
      </c>
      <c r="DB5" s="15" t="n">
        <f aca="false">IF($U$12=0,1,0)</f>
        <v>1</v>
      </c>
      <c r="DC5" s="15" t="n">
        <f aca="false">1</f>
        <v>1</v>
      </c>
      <c r="DD5" s="15" t="n">
        <f aca="false">1</f>
        <v>1</v>
      </c>
      <c r="DE5" s="15" t="n">
        <f aca="false">IF(CF5&lt;0,0,1)</f>
        <v>1</v>
      </c>
      <c r="DF5" s="15" t="n">
        <f aca="false">IF(CV5*CW5*CX5*CY5*CZ5*DA5*DB5*DC5*DD5*DE5=1,1,0)</f>
        <v>0</v>
      </c>
      <c r="DG5" s="15" t="n">
        <f aca="false">$U$6+CI5</f>
        <v>34</v>
      </c>
      <c r="DH5" s="15" t="n">
        <f aca="false">DF5*1000000+CQ5*100+(100-CK5)</f>
        <v>100</v>
      </c>
    </row>
    <row r="6" customFormat="false" ht="39.75" hidden="false" customHeight="true" outlineLevel="0" collapsed="false">
      <c r="B6" s="21" t="s">
        <v>400</v>
      </c>
      <c r="C6" s="22"/>
      <c r="D6" s="23" t="s">
        <v>148</v>
      </c>
      <c r="E6" s="24"/>
      <c r="F6" s="24"/>
      <c r="G6" s="24"/>
      <c r="H6" s="24"/>
      <c r="I6" s="25"/>
      <c r="J6" s="24"/>
      <c r="L6" s="26" t="s">
        <v>149</v>
      </c>
      <c r="M6" s="27" t="str">
        <f aca="false">IF($U$4=0,"Noch keine Eingaben – trag deine Punkte in die gelben Felder ein.",IF($U$35=1,"Endergebnis (alle Felder ausgefüllt)","Prognose: "&amp;$U$34&amp;" Felder offen, gefüllt mit deinem Schnitt von "&amp;FIXED($U$2,1)&amp;" Punkten"))</f>
        <v>Noch keine Eingaben – trag deine Punkte in die gelben Felder ein.</v>
      </c>
      <c r="N6" s="27"/>
      <c r="T6" s="15" t="s">
        <v>150</v>
      </c>
      <c r="U6" s="15" t="n">
        <f aca="false">BC6+BC7+BC8+BC9+BC10</f>
        <v>20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IF(BN6="","",IF(ISNUMBER($J$6),INT(((2*BN6+$J$6)/3*$U$15)+0.5+0.000000001),BN6*$U$15))</f>
        <v/>
      </c>
      <c r="BP6" s="15" t="n">
        <f aca="false">IF(BO6="",0,IF(BO6&gt;=5*$U$15-0.000000001,1,0))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IF(BT6="","",IF(ISNUMBER($J$6),INT(((2*BT6+$J$6)/3*$U$15)+0.5+0.000000001),BT6*$U$15))</f>
        <v>28</v>
      </c>
      <c r="BV6" s="15" t="n">
        <f aca="false">IF(BU6="",0,IF(BU6&gt;=5*$U$15-0.000000001,1,0))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IFERROR(LARGE($AH$6:$AK$25,5),0)</f>
        <v>0</v>
      </c>
      <c r="CA6" s="15" t="n">
        <f aca="false">CA5+BZ6</f>
        <v>0</v>
      </c>
      <c r="CB6" s="15" t="n">
        <f aca="false">IFERROR(LARGE($AM$6:$AP$25,5),0)</f>
        <v>0</v>
      </c>
      <c r="CC6" s="15" t="n">
        <f aca="false">CC5+CB6</f>
        <v>0</v>
      </c>
      <c r="CE6" s="15" t="n">
        <f aca="false">35</f>
        <v>35</v>
      </c>
      <c r="CF6" s="15" t="n">
        <f aca="false">CE6-$U$5-$U$6-0</f>
        <v>15</v>
      </c>
      <c r="CG6" s="15" t="n">
        <f aca="false">MAX(0,CF6)</f>
        <v>15</v>
      </c>
      <c r="CH6" s="15" t="n">
        <f aca="false">MIN(CG6,$U$7)</f>
        <v>0</v>
      </c>
      <c r="CI6" s="15" t="n">
        <f aca="false">CG6-CH6</f>
        <v>15</v>
      </c>
      <c r="CJ6" s="15" t="n">
        <f aca="false">0</f>
        <v>0</v>
      </c>
      <c r="CK6" s="15" t="n">
        <f aca="false">$U$5+CH6+CJ6</f>
        <v>0</v>
      </c>
      <c r="CL6" s="15" t="n">
        <f aca="false">2*AW6+2*AX6+2*AW7+2*AX7+1*AW8+1*AX8</f>
        <v>0</v>
      </c>
      <c r="CM6" s="15" t="n">
        <f aca="false">2*AY6+2*AZ6+2*AY7+2*AZ7+1*AY8+1*AZ8+1*AY9+1*AZ9+1*AY10+1*AZ10+SUM($AA$12:$AA$25)</f>
        <v>0</v>
      </c>
      <c r="CN6" s="15" t="n">
        <f aca="false">IF(CH6=0,0,INDEX($CA$2:$CA$57,CH6))</f>
        <v>0</v>
      </c>
      <c r="CO6" s="15" t="n">
        <f aca="false">CL6+$U$11+CN6+CJ6*$U$2</f>
        <v>0</v>
      </c>
      <c r="CP6" s="15" t="n">
        <f aca="false">CM6+CH6+CJ6</f>
        <v>0</v>
      </c>
      <c r="CQ6" s="15" t="n">
        <f aca="false">IF(CP6&gt;0,MIN(600,INT((CO6/CP6*40)+0.5+0.000000001)),0)</f>
        <v>0</v>
      </c>
      <c r="CR6" s="15" t="n">
        <f aca="false">$U$9+CT6</f>
        <v>0</v>
      </c>
      <c r="CS6" s="15" t="n">
        <f aca="false">IF(CK6&lt;32,6,IF(CK6&gt;36,7,CHOOSE(CK6-31,6,6,6,7,7)))</f>
        <v>6</v>
      </c>
      <c r="CT6" s="15" t="n">
        <f aca="false">$U$10+MAX(0,CH6-$U$8)+CJ6*IF($U$2&lt;5,1,0)</f>
        <v>0</v>
      </c>
      <c r="CU6" s="15" t="n">
        <f aca="false">$U$11+CN6+CJ6*$U$2</f>
        <v>0</v>
      </c>
      <c r="CV6" s="15" t="n">
        <f aca="false">IF(CQ6&gt;=200,1,0)</f>
        <v>0</v>
      </c>
      <c r="CW6" s="15" t="n">
        <f aca="false">IF(CR6&lt;=CS6,1,0)</f>
        <v>1</v>
      </c>
      <c r="CX6" s="15" t="n">
        <f aca="false">IF($U$9&lt;=3,1,0)</f>
        <v>1</v>
      </c>
      <c r="CY6" s="15" t="n">
        <f aca="false">1</f>
        <v>1</v>
      </c>
      <c r="CZ6" s="15" t="n">
        <f aca="false">1</f>
        <v>1</v>
      </c>
      <c r="DA6" s="15" t="n">
        <f aca="false">1</f>
        <v>1</v>
      </c>
      <c r="DB6" s="15" t="n">
        <f aca="false">IF($U$12=0,1,0)</f>
        <v>1</v>
      </c>
      <c r="DC6" s="15" t="n">
        <f aca="false">1</f>
        <v>1</v>
      </c>
      <c r="DD6" s="15" t="n">
        <f aca="false">1</f>
        <v>1</v>
      </c>
      <c r="DE6" s="15" t="n">
        <f aca="false">IF(CF6&lt;0,0,1)</f>
        <v>1</v>
      </c>
      <c r="DF6" s="15" t="n">
        <f aca="false">IF(CV6*CW6*CX6*CY6*CZ6*DA6*DB6*DC6*DD6*DE6=1,1,0)</f>
        <v>0</v>
      </c>
      <c r="DG6" s="15" t="n">
        <f aca="false">$U$6+CI6</f>
        <v>35</v>
      </c>
      <c r="DH6" s="15" t="n">
        <f aca="false">DF6*1000000+CQ6*100+(100-CK6)</f>
        <v>100</v>
      </c>
    </row>
    <row r="7" customFormat="false" ht="37.5" hidden="false" customHeight="true" outlineLevel="0" collapsed="false">
      <c r="B7" s="21" t="s">
        <v>401</v>
      </c>
      <c r="C7" s="22"/>
      <c r="D7" s="23" t="s">
        <v>148</v>
      </c>
      <c r="E7" s="24"/>
      <c r="F7" s="24"/>
      <c r="G7" s="24"/>
      <c r="H7" s="24"/>
      <c r="I7" s="25"/>
      <c r="J7" s="24"/>
      <c r="L7" s="26" t="s">
        <v>152</v>
      </c>
      <c r="M7" s="28" t="str">
        <f aca="false">IF($U$4=0,"",$U$36)</f>
        <v/>
      </c>
      <c r="N7" s="29" t="s">
        <v>153</v>
      </c>
      <c r="T7" s="15" t="s">
        <v>154</v>
      </c>
      <c r="U7" s="15" t="n">
        <f aca="false">COUNT($AH$6:$AK$25)</f>
        <v>0</v>
      </c>
      <c r="V7" s="15" t="n">
        <f aca="false">COUNT($AM$6:$AP$25)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IF(BN7="","",IF(ISNUMBER($J$7),INT(((2*BN7+$J$7)/3*$U$15)+0.5+0.000000001),BN7*$U$15))</f>
        <v/>
      </c>
      <c r="BP7" s="15" t="n">
        <f aca="false">IF(BO7="",0,IF(BO7&gt;=5*$U$15-0.000000001,1,0))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IF(BT7="","",IF(ISNUMBER($J$7),INT(((2*BT7+$J$7)/3*$U$15)+0.5+0.000000001),BT7*$U$15))</f>
        <v>28</v>
      </c>
      <c r="BV7" s="15" t="n">
        <f aca="false">IF(BU7="",0,IF(BU7&gt;=5*$U$15-0.000000001,1,0))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IFERROR(LARGE($AH$6:$AK$25,6),0)</f>
        <v>0</v>
      </c>
      <c r="CA7" s="15" t="n">
        <f aca="false">CA6+BZ7</f>
        <v>0</v>
      </c>
      <c r="CB7" s="15" t="n">
        <f aca="false">IFERROR(LARGE($AM$6:$AP$25,6),0)</f>
        <v>0</v>
      </c>
      <c r="CC7" s="15" t="n">
        <f aca="false">CC6+CB7</f>
        <v>0</v>
      </c>
      <c r="CE7" s="15" t="n">
        <f aca="false">36</f>
        <v>36</v>
      </c>
      <c r="CF7" s="15" t="n">
        <f aca="false">CE7-$U$5-$U$6-0</f>
        <v>16</v>
      </c>
      <c r="CG7" s="15" t="n">
        <f aca="false">MAX(0,CF7)</f>
        <v>16</v>
      </c>
      <c r="CH7" s="15" t="n">
        <f aca="false">MIN(CG7,$U$7)</f>
        <v>0</v>
      </c>
      <c r="CI7" s="15" t="n">
        <f aca="false">CG7-CH7</f>
        <v>16</v>
      </c>
      <c r="CJ7" s="15" t="n">
        <f aca="false">0</f>
        <v>0</v>
      </c>
      <c r="CK7" s="15" t="n">
        <f aca="false">$U$5+CH7+CJ7</f>
        <v>0</v>
      </c>
      <c r="CL7" s="15" t="n">
        <f aca="false">2*AW6+2*AX6+2*AW7+2*AX7+1*AW8+1*AX8</f>
        <v>0</v>
      </c>
      <c r="CM7" s="15" t="n">
        <f aca="false">2*AY6+2*AZ6+2*AY7+2*AZ7+1*AY8+1*AZ8+1*AY9+1*AZ9+1*AY10+1*AZ10+SUM($AA$12:$AA$25)</f>
        <v>0</v>
      </c>
      <c r="CN7" s="15" t="n">
        <f aca="false">IF(CH7=0,0,INDEX($CA$2:$CA$57,CH7))</f>
        <v>0</v>
      </c>
      <c r="CO7" s="15" t="n">
        <f aca="false">CL7+$U$11+CN7+CJ7*$U$2</f>
        <v>0</v>
      </c>
      <c r="CP7" s="15" t="n">
        <f aca="false">CM7+CH7+CJ7</f>
        <v>0</v>
      </c>
      <c r="CQ7" s="15" t="n">
        <f aca="false">IF(CP7&gt;0,MIN(600,INT((CO7/CP7*40)+0.5+0.000000001)),0)</f>
        <v>0</v>
      </c>
      <c r="CR7" s="15" t="n">
        <f aca="false">$U$9+CT7</f>
        <v>0</v>
      </c>
      <c r="CS7" s="15" t="n">
        <f aca="false">IF(CK7&lt;32,6,IF(CK7&gt;36,7,CHOOSE(CK7-31,6,6,6,7,7)))</f>
        <v>6</v>
      </c>
      <c r="CT7" s="15" t="n">
        <f aca="false">$U$10+MAX(0,CH7-$U$8)+CJ7*IF($U$2&lt;5,1,0)</f>
        <v>0</v>
      </c>
      <c r="CU7" s="15" t="n">
        <f aca="false">$U$11+CN7+CJ7*$U$2</f>
        <v>0</v>
      </c>
      <c r="CV7" s="15" t="n">
        <f aca="false">IF(CQ7&gt;=200,1,0)</f>
        <v>0</v>
      </c>
      <c r="CW7" s="15" t="n">
        <f aca="false">IF(CR7&lt;=CS7,1,0)</f>
        <v>1</v>
      </c>
      <c r="CX7" s="15" t="n">
        <f aca="false">IF($U$9&lt;=3,1,0)</f>
        <v>1</v>
      </c>
      <c r="CY7" s="15" t="n">
        <f aca="false">1</f>
        <v>1</v>
      </c>
      <c r="CZ7" s="15" t="n">
        <f aca="false">1</f>
        <v>1</v>
      </c>
      <c r="DA7" s="15" t="n">
        <f aca="false">1</f>
        <v>1</v>
      </c>
      <c r="DB7" s="15" t="n">
        <f aca="false">IF($U$12=0,1,0)</f>
        <v>1</v>
      </c>
      <c r="DC7" s="15" t="n">
        <f aca="false">1</f>
        <v>1</v>
      </c>
      <c r="DD7" s="15" t="n">
        <f aca="false">1</f>
        <v>1</v>
      </c>
      <c r="DE7" s="15" t="n">
        <f aca="false">IF(CF7&lt;0,0,1)</f>
        <v>1</v>
      </c>
      <c r="DF7" s="15" t="n">
        <f aca="false">IF(CV7*CW7*CX7*CY7*CZ7*DA7*DB7*DC7*DD7*DE7=1,1,0)</f>
        <v>0</v>
      </c>
      <c r="DG7" s="15" t="n">
        <f aca="false">$U$6+CI7</f>
        <v>36</v>
      </c>
      <c r="DH7" s="15" t="n">
        <f aca="false">DF7*1000000+CQ7*100+(100-CK7)</f>
        <v>100</v>
      </c>
    </row>
    <row r="8" customFormat="false" ht="37.5" hidden="false" customHeight="true" outlineLevel="0" collapsed="false">
      <c r="B8" s="21" t="s">
        <v>402</v>
      </c>
      <c r="C8" s="22"/>
      <c r="D8" s="23" t="s">
        <v>148</v>
      </c>
      <c r="E8" s="24"/>
      <c r="F8" s="24"/>
      <c r="G8" s="24"/>
      <c r="H8" s="24"/>
      <c r="I8" s="25"/>
      <c r="J8" s="24"/>
      <c r="L8" s="26" t="s">
        <v>156</v>
      </c>
      <c r="M8" s="28" t="str">
        <f aca="false">IF($U$4=0,"",$U$59)</f>
        <v/>
      </c>
      <c r="N8" s="29" t="s">
        <v>157</v>
      </c>
      <c r="T8" s="15" t="s">
        <v>158</v>
      </c>
      <c r="U8" s="15" t="n">
        <f aca="false">COUNTIF($AH$6:$AK$25,"&gt;=5")</f>
        <v>0</v>
      </c>
      <c r="V8" s="15" t="n">
        <f aca="false">COUNTIF($AM$6:$AP$25,"&gt;=5")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IF(BN8="","",IF(ISNUMBER($J$8),INT(((2*BN8+$J$8)/3*$U$15)+0.5+0.000000001),BN8*$U$15))</f>
        <v/>
      </c>
      <c r="BP8" s="15" t="n">
        <f aca="false">IF(BO8="",0,IF(BO8&gt;=5*$U$15-0.000000001,1,0))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IF(BT8="","",IF(ISNUMBER($J$8),INT(((2*BT8+$J$8)/3*$U$15)+0.5+0.000000001),BT8*$U$15))</f>
        <v>28</v>
      </c>
      <c r="BV8" s="15" t="n">
        <f aca="false">IF(BU8="",0,IF(BU8&gt;=5*$U$15-0.000000001,1,0))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IFERROR(LARGE($AH$6:$AK$25,7),0)</f>
        <v>0</v>
      </c>
      <c r="CA8" s="15" t="n">
        <f aca="false">CA7+BZ8</f>
        <v>0</v>
      </c>
      <c r="CB8" s="15" t="n">
        <f aca="false">IFERROR(LARGE($AM$6:$AP$25,7),0)</f>
        <v>0</v>
      </c>
      <c r="CC8" s="15" t="n">
        <f aca="false">CC7+CB8</f>
        <v>0</v>
      </c>
    </row>
    <row r="9" customFormat="false" ht="37.5" hidden="false" customHeight="true" outlineLevel="0" collapsed="false">
      <c r="B9" s="21" t="s">
        <v>403</v>
      </c>
      <c r="C9" s="22"/>
      <c r="D9" s="23" t="s">
        <v>148</v>
      </c>
      <c r="E9" s="24"/>
      <c r="F9" s="24"/>
      <c r="G9" s="24"/>
      <c r="H9" s="24"/>
      <c r="I9" s="25"/>
      <c r="J9" s="24"/>
      <c r="L9" s="31" t="s">
        <v>161</v>
      </c>
      <c r="M9" s="32" t="str">
        <f aca="false">IF($U$4=0,"",$U$64)</f>
        <v/>
      </c>
      <c r="N9" s="29" t="s">
        <v>162</v>
      </c>
      <c r="T9" s="15" t="s">
        <v>163</v>
      </c>
      <c r="U9" s="15" t="n">
        <f aca="false">BA6+BA7+BA8</f>
        <v>0</v>
      </c>
      <c r="V9" s="15" t="n">
        <f aca="false">BI6+BI7+BI8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IF(BN9="","",IF(ISNUMBER($J$9),INT(((2*BN9+$J$9)/3*$U$15)+0.5+0.000000001),BN9*$U$15))</f>
        <v/>
      </c>
      <c r="BP9" s="15" t="n">
        <f aca="false">IF(BO9="",0,IF(BO9&gt;=5*$U$15-0.000000001,1,0))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IF(BT9="","",IF(ISNUMBER($J$9),INT(((2*BT9+$J$9)/3*$U$15)+0.5+0.000000001),BT9*$U$15))</f>
        <v>28</v>
      </c>
      <c r="BV9" s="15" t="n">
        <f aca="false">IF(BU9="",0,IF(BU9&gt;=5*$U$15-0.000000001,1,0))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IFERROR(LARGE($AH$6:$AK$25,8),0)</f>
        <v>0</v>
      </c>
      <c r="CA9" s="15" t="n">
        <f aca="false">CA8+BZ9</f>
        <v>0</v>
      </c>
      <c r="CB9" s="15" t="n">
        <f aca="false">IFERROR(LARGE($AM$6:$AP$25,8),0)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21" t="s">
        <v>404</v>
      </c>
      <c r="C10" s="22"/>
      <c r="D10" s="23" t="s">
        <v>148</v>
      </c>
      <c r="E10" s="24"/>
      <c r="F10" s="24"/>
      <c r="G10" s="24"/>
      <c r="H10" s="24"/>
      <c r="I10" s="25"/>
      <c r="J10" s="30" t="s">
        <v>160</v>
      </c>
      <c r="L10" s="31" t="s">
        <v>165</v>
      </c>
      <c r="M10" s="33" t="str">
        <f aca="false">IF($U$4=0,"",IF($U$66=1,$U$67/10,"nicht bestanden"))</f>
        <v/>
      </c>
      <c r="N10" s="29"/>
      <c r="T10" s="15" t="s">
        <v>166</v>
      </c>
      <c r="U10" s="15" t="n">
        <f aca="false">BA9+BA10+SUM($AB$12:$AB$25)</f>
        <v>0</v>
      </c>
      <c r="V10" s="15" t="n">
        <f aca="false">BI9+BI10+SUM($AF$12:$AF$25)</f>
        <v>0</v>
      </c>
      <c r="AR10" s="15" t="n">
        <f aca="false">IF(ISNUMBER(E10),1,0)</f>
        <v>0</v>
      </c>
      <c r="AS10" s="15" t="n">
        <f aca="false">IF(ISNUMBER(F10),1,0)</f>
        <v>0</v>
      </c>
      <c r="AT10" s="15" t="n">
        <f aca="false">IF(ISNUMBER(G10),1,0)</f>
        <v>0</v>
      </c>
      <c r="AU10" s="15" t="n">
        <f aca="false">IF(ISNUMBER(H10),1,0)</f>
        <v>0</v>
      </c>
      <c r="AW10" s="15" t="n">
        <f aca="false">SUM(E10:G10)</f>
        <v>0</v>
      </c>
      <c r="AX10" s="15" t="n">
        <f aca="false">SUM(H10:H10)</f>
        <v>0</v>
      </c>
      <c r="AY10" s="15" t="n">
        <f aca="false">COUNT(E10:G10)</f>
        <v>0</v>
      </c>
      <c r="AZ10" s="15" t="n">
        <f aca="false">COUNT(H10:H10)</f>
        <v>0</v>
      </c>
      <c r="BA10" s="15" t="n">
        <f aca="false">COUNTIF(E10:H10,"&lt;5")</f>
        <v>0</v>
      </c>
      <c r="BB10" s="15" t="n">
        <f aca="false">COUNTIF(E10:H10,0)</f>
        <v>0</v>
      </c>
      <c r="BC10" s="15" t="n">
        <f aca="false">4-COUNT(E10:H10)</f>
        <v>4</v>
      </c>
      <c r="BD10" s="15" t="n">
        <f aca="false">SUM(E10:H10)</f>
        <v>0</v>
      </c>
      <c r="BE10" s="15" t="n">
        <f aca="false">SUM(E10:G10)+$U$2*(3-COUNT(E10:G10))</f>
        <v>21</v>
      </c>
      <c r="BF10" s="15" t="n">
        <f aca="false">SUM(H10:H10)+$U$2*(1-COUNT(H10:H10))</f>
        <v>7</v>
      </c>
      <c r="BG10" s="15" t="n">
        <f aca="false">3</f>
        <v>3</v>
      </c>
      <c r="BH10" s="15" t="n">
        <f aca="false">1</f>
        <v>1</v>
      </c>
      <c r="BI10" s="15" t="n">
        <f aca="false">COUNTIF(E10:H10,"&lt;5")+IF($U$2&lt;5,1,0)*(4-COUNT(E10:H10))</f>
        <v>0</v>
      </c>
      <c r="BJ10" s="15" t="n">
        <f aca="false">COUNTIF(E10:H10,0)</f>
        <v>0</v>
      </c>
      <c r="BK10" s="15" t="n">
        <f aca="false">0</f>
        <v>0</v>
      </c>
      <c r="BL10" s="15" t="n">
        <f aca="false">SUM(E10:H10)+$U$2*(4-COUNT(E10:H10))</f>
        <v>28</v>
      </c>
      <c r="BN10" s="15" t="str">
        <f aca="false">IF(ISNUMBER($I$10),$I$10,"")</f>
        <v/>
      </c>
      <c r="BO10" s="15" t="str">
        <f aca="false">IF(BN10="","",BN10*$U$15)</f>
        <v/>
      </c>
      <c r="BP10" s="15" t="n">
        <f aca="false">IF(BO10="",0,IF(BO10&gt;=5*$U$15-0.000000001,1,0))</f>
        <v>0</v>
      </c>
      <c r="BQ10" s="15" t="n">
        <f aca="false">IF(BO10="",0,IF(BO10&lt;0.000000001,1,0))</f>
        <v>0</v>
      </c>
      <c r="BR10" s="15" t="n">
        <f aca="false">0</f>
        <v>0</v>
      </c>
      <c r="BT10" s="15" t="n">
        <f aca="false">IF(ISNUMBER($I$10),$I$10,$U$3)</f>
        <v>7</v>
      </c>
      <c r="BU10" s="15" t="n">
        <f aca="false">IF(BT10="","",BT10*$U$15)</f>
        <v>28</v>
      </c>
      <c r="BV10" s="15" t="n">
        <f aca="false">IF(BU10="",0,IF(BU10&gt;=5*$U$15-0.000000001,1,0))</f>
        <v>1</v>
      </c>
      <c r="BW10" s="15" t="n">
        <f aca="false">IF(BU10="",0,IF(BU10&lt;0.000000001,1,0))</f>
        <v>0</v>
      </c>
      <c r="BX10" s="15" t="n">
        <f aca="false">0</f>
        <v>0</v>
      </c>
      <c r="BZ10" s="15" t="n">
        <f aca="false">IFERROR(LARGE($AH$6:$AK$25,9),0)</f>
        <v>0</v>
      </c>
      <c r="CA10" s="15" t="n">
        <f aca="false">CA9+BZ10</f>
        <v>0</v>
      </c>
      <c r="CB10" s="15" t="n">
        <f aca="false">IFERROR(LARGE($AM$6:$AP$25,9),0)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6" t="s">
        <v>167</v>
      </c>
      <c r="C11" s="6" t="s">
        <v>112</v>
      </c>
      <c r="D11" s="34" t="s">
        <v>168</v>
      </c>
      <c r="E11" s="35" t="s">
        <v>113</v>
      </c>
      <c r="F11" s="35" t="s">
        <v>114</v>
      </c>
      <c r="G11" s="35" t="s">
        <v>115</v>
      </c>
      <c r="H11" s="35" t="s">
        <v>116</v>
      </c>
      <c r="I11" s="20"/>
      <c r="J11" s="20"/>
      <c r="L11" s="26" t="s">
        <v>169</v>
      </c>
      <c r="M11" s="28" t="str">
        <f aca="false">IF($U$4=0,"",IF($U$68="","–",$U$68))</f>
        <v/>
      </c>
      <c r="N11" s="29" t="str">
        <f aca="false">IF($U$4=0,"",IF($U$67="","Punkte bis 300",IF($U$68="","Bestnote erreicht","Punkte → "&amp;FIXED(($U$67-1)/10,1))))</f>
        <v/>
      </c>
      <c r="T11" s="15" t="s">
        <v>170</v>
      </c>
      <c r="U11" s="15" t="n">
        <f aca="false">AW9+AW10+AX9+AX10+SUM($Z$12:$Z$25)</f>
        <v>0</v>
      </c>
      <c r="V11" s="15" t="n">
        <f aca="false">BE9+BE10+BF9+BF10+SUM($AD$12:$AD$25)</f>
        <v>56</v>
      </c>
      <c r="X11" s="15" t="s">
        <v>171</v>
      </c>
      <c r="Y11" s="15" t="s">
        <v>172</v>
      </c>
      <c r="Z11" s="15" t="s">
        <v>173</v>
      </c>
      <c r="AA11" s="15" t="s">
        <v>174</v>
      </c>
      <c r="AB11" s="15" t="s">
        <v>127</v>
      </c>
      <c r="AC11" s="15" t="s">
        <v>128</v>
      </c>
      <c r="AD11" s="15" t="s">
        <v>175</v>
      </c>
      <c r="AE11" s="15" t="s">
        <v>176</v>
      </c>
      <c r="AF11" s="15" t="s">
        <v>135</v>
      </c>
      <c r="BZ11" s="15" t="n">
        <f aca="false">IFERROR(LARGE($AH$6:$AK$25,10),0)</f>
        <v>0</v>
      </c>
      <c r="CA11" s="15" t="n">
        <f aca="false">CA10+BZ11</f>
        <v>0</v>
      </c>
      <c r="CB11" s="15" t="n">
        <f aca="false">IFERROR(LARGE($AM$6:$AP$25,10),0)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6" t="s">
        <v>177</v>
      </c>
      <c r="C12" s="37"/>
      <c r="D12" s="38"/>
      <c r="E12" s="24"/>
      <c r="F12" s="24"/>
      <c r="G12" s="24"/>
      <c r="H12" s="24"/>
      <c r="I12" s="39"/>
      <c r="J12" s="39"/>
      <c r="L12" s="26" t="s">
        <v>178</v>
      </c>
      <c r="M12" s="28" t="str">
        <f aca="false">IF(OR($U$4=0,$U$69=""),"",$U$69)</f>
        <v/>
      </c>
      <c r="N12" s="29" t="str">
        <f aca="false">IF(OR($U$4=0,$U$69=""),"","Punkte Luft")</f>
        <v/>
      </c>
      <c r="T12" s="15" t="s">
        <v>179</v>
      </c>
      <c r="U12" s="15" t="n">
        <f aca="false">BB6+BB7+BB8+BB9+BB10+SUM($AC$12:$AC$25)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IF(Y12=1,IF(ISNUMBER(E12),1,0),IF(AH12="",0,IF(IF($U$35=1,COUNTIF($AH$6:$AK$25,"&gt;"&amp;AH12),COUNTIF($AM$6:$AP$25,"&gt;"&amp;AH12))+COUNTIF($AH$6:$AK$11,AH12)+1&lt;=$U$45,1,0)))</f>
        <v>0</v>
      </c>
      <c r="AS12" s="15" t="n">
        <f aca="false">IF(Y12=1,IF(ISNUMBER(F12),1,0),IF(AI12="",0,IF(IF($U$35=1,COUNTIF($AH$6:$AK$25,"&gt;"&amp;AI12),COUNTIF($AM$6:$AP$25,"&gt;"&amp;AI12))+COUNTIF($AH$6:$AK$11,AI12)+COUNTIF($AH12:AH12,AI12)+1&lt;=$U$45,1,0)))</f>
        <v>0</v>
      </c>
      <c r="AT12" s="15" t="n">
        <f aca="false">IF(Y12=1,IF(ISNUMBER(G12),1,0),IF(AJ12="",0,IF(IF($U$35=1,COUNTIF($AH$6:$AK$25,"&gt;"&amp;AJ12),COUNTIF($AM$6:$AP$25,"&gt;"&amp;AJ12))+COUNTIF($AH$6:$AK$11,AJ12)+COUNTIF($AH12:AI12,AJ12)+1&lt;=$U$45,1,0)))</f>
        <v>0</v>
      </c>
      <c r="AU12" s="15" t="n">
        <f aca="false">IF(Y12=1,IF(ISNUMBER(H12),1,0),IF(AK12="",0,IF(IF($U$35=1,COUNTIF($AH$6:$AK$25,"&gt;"&amp;AK12),COUNTIF($AM$6:$AP$25,"&gt;"&amp;AK12))+COUNTIF($AH$6:$AK$11,AK12)+COUNTIF($AH12:AJ12,AK12)+1&lt;=$U$45,1,0)))</f>
        <v>0</v>
      </c>
      <c r="BZ12" s="15" t="n">
        <f aca="false">IFERROR(LARGE($AH$6:$AK$25,11),0)</f>
        <v>0</v>
      </c>
      <c r="CA12" s="15" t="n">
        <f aca="false">CA11+BZ12</f>
        <v>0</v>
      </c>
      <c r="CB12" s="15" t="n">
        <f aca="false">IFERROR(LARGE($AM$6:$AP$25,11),0)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180</v>
      </c>
      <c r="C13" s="37"/>
      <c r="D13" s="38"/>
      <c r="E13" s="24"/>
      <c r="F13" s="24"/>
      <c r="G13" s="24"/>
      <c r="H13" s="24"/>
      <c r="I13" s="39"/>
      <c r="J13" s="39"/>
      <c r="L13" s="26" t="s">
        <v>181</v>
      </c>
      <c r="M13" s="28" t="str">
        <f aca="false">IF($U$4=0,"",$U$37)</f>
        <v/>
      </c>
      <c r="N13" s="29" t="str">
        <f aca="false">IF($U$4=0,"","Formel: "&amp;FIXED($U$44,1)&amp;" / "&amp;$U$43&amp;" × 40")</f>
        <v/>
      </c>
      <c r="T13" s="15" t="s">
        <v>182</v>
      </c>
      <c r="U13" s="15" t="n">
        <f aca="false">MATCH(MAX($DH$3:$DH$7),$DH$3:$DH$7,0)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IF(Y13=1,IF(ISNUMBER(E13),1,0),IF(AH13="",0,IF(IF($U$35=1,COUNTIF($AH$6:$AK$25,"&gt;"&amp;AH13),COUNTIF($AM$6:$AP$25,"&gt;"&amp;AH13))+COUNTIF($AH$6:$AK$12,AH13)+1&lt;=$U$45,1,0)))</f>
        <v>0</v>
      </c>
      <c r="AS13" s="15" t="n">
        <f aca="false">IF(Y13=1,IF(ISNUMBER(F13),1,0),IF(AI13="",0,IF(IF($U$35=1,COUNTIF($AH$6:$AK$25,"&gt;"&amp;AI13),COUNTIF($AM$6:$AP$25,"&gt;"&amp;AI13))+COUNTIF($AH$6:$AK$12,AI13)+COUNTIF($AH13:AH13,AI13)+1&lt;=$U$45,1,0)))</f>
        <v>0</v>
      </c>
      <c r="AT13" s="15" t="n">
        <f aca="false">IF(Y13=1,IF(ISNUMBER(G13),1,0),IF(AJ13="",0,IF(IF($U$35=1,COUNTIF($AH$6:$AK$25,"&gt;"&amp;AJ13),COUNTIF($AM$6:$AP$25,"&gt;"&amp;AJ13))+COUNTIF($AH$6:$AK$12,AJ13)+COUNTIF($AH13:AI13,AJ13)+1&lt;=$U$45,1,0)))</f>
        <v>0</v>
      </c>
      <c r="AU13" s="15" t="n">
        <f aca="false">IF(Y13=1,IF(ISNUMBER(H13),1,0),IF(AK13="",0,IF(IF($U$35=1,COUNTIF($AH$6:$AK$25,"&gt;"&amp;AK13),COUNTIF($AM$6:$AP$25,"&gt;"&amp;AK13))+COUNTIF($AH$6:$AK$12,AK13)+COUNTIF($AH13:AJ13,AK13)+1&lt;=$U$45,1,0)))</f>
        <v>0</v>
      </c>
      <c r="BZ13" s="15" t="n">
        <f aca="false">IFERROR(LARGE($AH$6:$AK$25,12),0)</f>
        <v>0</v>
      </c>
      <c r="CA13" s="15" t="n">
        <f aca="false">CA12+BZ13</f>
        <v>0</v>
      </c>
      <c r="CB13" s="15" t="n">
        <f aca="false">IFERROR(LARGE($AM$6:$AP$25,12),0)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183</v>
      </c>
      <c r="C14" s="37"/>
      <c r="D14" s="38"/>
      <c r="E14" s="24"/>
      <c r="F14" s="24"/>
      <c r="G14" s="24"/>
      <c r="H14" s="24"/>
      <c r="I14" s="39"/>
      <c r="J14" s="39"/>
      <c r="L14" s="26" t="s">
        <v>184</v>
      </c>
      <c r="M14" s="28" t="str">
        <f aca="false">IF($U$4=0,"",$U$38)</f>
        <v/>
      </c>
      <c r="N14" s="29" t="str">
        <f aca="false">IF($U$4=0,"","erlaubt: höchstens "&amp;$U$39)</f>
        <v/>
      </c>
      <c r="T14" s="15" t="s">
        <v>185</v>
      </c>
      <c r="U14" s="15" t="n">
        <f aca="false">MATCH(MAX($DH$23:$DH$27),$DH$23:$DH$27,0)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IF(Y14=1,IF(ISNUMBER(E14),1,0),IF(AH14="",0,IF(IF($U$35=1,COUNTIF($AH$6:$AK$25,"&gt;"&amp;AH14),COUNTIF($AM$6:$AP$25,"&gt;"&amp;AH14))+COUNTIF($AH$6:$AK$13,AH14)+1&lt;=$U$45,1,0)))</f>
        <v>0</v>
      </c>
      <c r="AS14" s="15" t="n">
        <f aca="false">IF(Y14=1,IF(ISNUMBER(F14),1,0),IF(AI14="",0,IF(IF($U$35=1,COUNTIF($AH$6:$AK$25,"&gt;"&amp;AI14),COUNTIF($AM$6:$AP$25,"&gt;"&amp;AI14))+COUNTIF($AH$6:$AK$13,AI14)+COUNTIF($AH14:AH14,AI14)+1&lt;=$U$45,1,0)))</f>
        <v>0</v>
      </c>
      <c r="AT14" s="15" t="n">
        <f aca="false">IF(Y14=1,IF(ISNUMBER(G14),1,0),IF(AJ14="",0,IF(IF($U$35=1,COUNTIF($AH$6:$AK$25,"&gt;"&amp;AJ14),COUNTIF($AM$6:$AP$25,"&gt;"&amp;AJ14))+COUNTIF($AH$6:$AK$13,AJ14)+COUNTIF($AH14:AI14,AJ14)+1&lt;=$U$45,1,0)))</f>
        <v>0</v>
      </c>
      <c r="AU14" s="15" t="n">
        <f aca="false">IF(Y14=1,IF(ISNUMBER(H14),1,0),IF(AK14="",0,IF(IF($U$35=1,COUNTIF($AH$6:$AK$25,"&gt;"&amp;AK14),COUNTIF($AM$6:$AP$25,"&gt;"&amp;AK14))+COUNTIF($AH$6:$AK$13,AK14)+COUNTIF($AH14:AJ14,AK14)+1&lt;=$U$45,1,0)))</f>
        <v>0</v>
      </c>
      <c r="BZ14" s="15" t="n">
        <f aca="false">IFERROR(LARGE($AH$6:$AK$25,13),0)</f>
        <v>0</v>
      </c>
      <c r="CA14" s="15" t="n">
        <f aca="false">CA13+BZ14</f>
        <v>0</v>
      </c>
      <c r="CB14" s="15" t="n">
        <f aca="false">IFERROR(LARGE($AM$6:$AP$25,13),0)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186</v>
      </c>
      <c r="C15" s="37"/>
      <c r="D15" s="38"/>
      <c r="E15" s="24"/>
      <c r="F15" s="24"/>
      <c r="G15" s="24"/>
      <c r="H15" s="24"/>
      <c r="I15" s="39"/>
      <c r="J15" s="39"/>
      <c r="L15" s="26" t="s">
        <v>187</v>
      </c>
      <c r="M15" s="28" t="str">
        <f aca="false">IF($U$4=0,"","+"&amp;$U$15)</f>
        <v/>
      </c>
      <c r="N15" s="29" t="s">
        <v>188</v>
      </c>
      <c r="T15" s="15" t="s">
        <v>189</v>
      </c>
      <c r="U15" s="15" t="n">
        <f aca="false">4</f>
        <v>4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IF(Y15=1,IF(ISNUMBER(E15),1,0),IF(AH15="",0,IF(IF($U$35=1,COUNTIF($AH$6:$AK$25,"&gt;"&amp;AH15),COUNTIF($AM$6:$AP$25,"&gt;"&amp;AH15))+COUNTIF($AH$6:$AK$14,AH15)+1&lt;=$U$45,1,0)))</f>
        <v>0</v>
      </c>
      <c r="AS15" s="15" t="n">
        <f aca="false">IF(Y15=1,IF(ISNUMBER(F15),1,0),IF(AI15="",0,IF(IF($U$35=1,COUNTIF($AH$6:$AK$25,"&gt;"&amp;AI15),COUNTIF($AM$6:$AP$25,"&gt;"&amp;AI15))+COUNTIF($AH$6:$AK$14,AI15)+COUNTIF($AH15:AH15,AI15)+1&lt;=$U$45,1,0)))</f>
        <v>0</v>
      </c>
      <c r="AT15" s="15" t="n">
        <f aca="false">IF(Y15=1,IF(ISNUMBER(G15),1,0),IF(AJ15="",0,IF(IF($U$35=1,COUNTIF($AH$6:$AK$25,"&gt;"&amp;AJ15),COUNTIF($AM$6:$AP$25,"&gt;"&amp;AJ15))+COUNTIF($AH$6:$AK$14,AJ15)+COUNTIF($AH15:AI15,AJ15)+1&lt;=$U$45,1,0)))</f>
        <v>0</v>
      </c>
      <c r="AU15" s="15" t="n">
        <f aca="false">IF(Y15=1,IF(ISNUMBER(H15),1,0),IF(AK15="",0,IF(IF($U$35=1,COUNTIF($AH$6:$AK$25,"&gt;"&amp;AK15),COUNTIF($AM$6:$AP$25,"&gt;"&amp;AK15))+COUNTIF($AH$6:$AK$14,AK15)+COUNTIF($AH15:AJ15,AK15)+1&lt;=$U$45,1,0)))</f>
        <v>0</v>
      </c>
      <c r="BZ15" s="15" t="n">
        <f aca="false">IFERROR(LARGE($AH$6:$AK$25,14),0)</f>
        <v>0</v>
      </c>
      <c r="CA15" s="15" t="n">
        <f aca="false">CA14+BZ15</f>
        <v>0</v>
      </c>
      <c r="CB15" s="15" t="n">
        <f aca="false">IFERROR(LARGE($AM$6:$AP$25,14),0)</f>
        <v>0</v>
      </c>
      <c r="CC15" s="15" t="n">
        <f aca="false">CC14+CB15</f>
        <v>0</v>
      </c>
    </row>
    <row r="16" customFormat="false" ht="15" hidden="false" customHeight="false" outlineLevel="0" collapsed="false">
      <c r="B16" s="36" t="s">
        <v>190</v>
      </c>
      <c r="C16" s="37"/>
      <c r="D16" s="38"/>
      <c r="E16" s="24"/>
      <c r="F16" s="24"/>
      <c r="G16" s="24"/>
      <c r="H16" s="24"/>
      <c r="I16" s="39"/>
      <c r="J16" s="39"/>
      <c r="L16" s="26" t="s">
        <v>191</v>
      </c>
      <c r="M16" s="28" t="str">
        <f aca="false">IF($U$4=0,"","≈ +"&amp;FIXED(40/$U$43,2))</f>
        <v/>
      </c>
      <c r="N16" s="29" t="s">
        <v>192</v>
      </c>
      <c r="T16" s="15" t="s">
        <v>193</v>
      </c>
      <c r="U16" s="15" t="n">
        <f aca="false">MIN(300,INT((SUM(BO6,BO7,BO8,BO9,BO10))+0.5+0.000000001))</f>
        <v>0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IF(Y16=1,IF(ISNUMBER(E16),1,0),IF(AH16="",0,IF(IF($U$35=1,COUNTIF($AH$6:$AK$25,"&gt;"&amp;AH16),COUNTIF($AM$6:$AP$25,"&gt;"&amp;AH16))+COUNTIF($AH$6:$AK$15,AH16)+1&lt;=$U$45,1,0)))</f>
        <v>0</v>
      </c>
      <c r="AS16" s="15" t="n">
        <f aca="false">IF(Y16=1,IF(ISNUMBER(F16),1,0),IF(AI16="",0,IF(IF($U$35=1,COUNTIF($AH$6:$AK$25,"&gt;"&amp;AI16),COUNTIF($AM$6:$AP$25,"&gt;"&amp;AI16))+COUNTIF($AH$6:$AK$15,AI16)+COUNTIF($AH16:AH16,AI16)+1&lt;=$U$45,1,0)))</f>
        <v>0</v>
      </c>
      <c r="AT16" s="15" t="n">
        <f aca="false">IF(Y16=1,IF(ISNUMBER(G16),1,0),IF(AJ16="",0,IF(IF($U$35=1,COUNTIF($AH$6:$AK$25,"&gt;"&amp;AJ16),COUNTIF($AM$6:$AP$25,"&gt;"&amp;AJ16))+COUNTIF($AH$6:$AK$15,AJ16)+COUNTIF($AH16:AI16,AJ16)+1&lt;=$U$45,1,0)))</f>
        <v>0</v>
      </c>
      <c r="AU16" s="15" t="n">
        <f aca="false">IF(Y16=1,IF(ISNUMBER(H16),1,0),IF(AK16="",0,IF(IF($U$35=1,COUNTIF($AH$6:$AK$25,"&gt;"&amp;AK16),COUNTIF($AM$6:$AP$25,"&gt;"&amp;AK16))+COUNTIF($AH$6:$AK$15,AK16)+COUNTIF($AH16:AJ16,AK16)+1&lt;=$U$45,1,0)))</f>
        <v>0</v>
      </c>
      <c r="BZ16" s="15" t="n">
        <f aca="false">IFERROR(LARGE($AH$6:$AK$25,15),0)</f>
        <v>0</v>
      </c>
      <c r="CA16" s="15" t="n">
        <f aca="false">CA15+BZ16</f>
        <v>0</v>
      </c>
      <c r="CB16" s="15" t="n">
        <f aca="false">IFERROR(LARGE($AM$6:$AP$25,15),0)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194</v>
      </c>
      <c r="C17" s="37"/>
      <c r="D17" s="38"/>
      <c r="E17" s="24"/>
      <c r="F17" s="24"/>
      <c r="G17" s="24"/>
      <c r="H17" s="24"/>
      <c r="I17" s="39"/>
      <c r="J17" s="39"/>
      <c r="T17" s="15" t="s">
        <v>195</v>
      </c>
      <c r="U17" s="15" t="n">
        <f aca="false">SUM(BP6,BP7,BP8,BP9,BP10)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IF(Y17=1,IF(ISNUMBER(E17),1,0),IF(AH17="",0,IF(IF($U$35=1,COUNTIF($AH$6:$AK$25,"&gt;"&amp;AH17),COUNTIF($AM$6:$AP$25,"&gt;"&amp;AH17))+COUNTIF($AH$6:$AK$16,AH17)+1&lt;=$U$45,1,0)))</f>
        <v>0</v>
      </c>
      <c r="AS17" s="15" t="n">
        <f aca="false">IF(Y17=1,IF(ISNUMBER(F17),1,0),IF(AI17="",0,IF(IF($U$35=1,COUNTIF($AH$6:$AK$25,"&gt;"&amp;AI17),COUNTIF($AM$6:$AP$25,"&gt;"&amp;AI17))+COUNTIF($AH$6:$AK$16,AI17)+COUNTIF($AH17:AH17,AI17)+1&lt;=$U$45,1,0)))</f>
        <v>0</v>
      </c>
      <c r="AT17" s="15" t="n">
        <f aca="false">IF(Y17=1,IF(ISNUMBER(G17),1,0),IF(AJ17="",0,IF(IF($U$35=1,COUNTIF($AH$6:$AK$25,"&gt;"&amp;AJ17),COUNTIF($AM$6:$AP$25,"&gt;"&amp;AJ17))+COUNTIF($AH$6:$AK$16,AJ17)+COUNTIF($AH17:AI17,AJ17)+1&lt;=$U$45,1,0)))</f>
        <v>0</v>
      </c>
      <c r="AU17" s="15" t="n">
        <f aca="false">IF(Y17=1,IF(ISNUMBER(H17),1,0),IF(AK17="",0,IF(IF($U$35=1,COUNTIF($AH$6:$AK$25,"&gt;"&amp;AK17),COUNTIF($AM$6:$AP$25,"&gt;"&amp;AK17))+COUNTIF($AH$6:$AK$16,AK17)+COUNTIF($AH17:AJ17,AK17)+1&lt;=$U$45,1,0)))</f>
        <v>0</v>
      </c>
      <c r="BZ17" s="15" t="n">
        <f aca="false">IFERROR(LARGE($AH$6:$AK$25,16),0)</f>
        <v>0</v>
      </c>
      <c r="CA17" s="15" t="n">
        <f aca="false">CA16+BZ17</f>
        <v>0</v>
      </c>
      <c r="CB17" s="15" t="n">
        <f aca="false">IFERROR(LARGE($AM$6:$AP$25,16),0)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196</v>
      </c>
      <c r="C18" s="37"/>
      <c r="D18" s="38"/>
      <c r="E18" s="24"/>
      <c r="F18" s="24"/>
      <c r="G18" s="24"/>
      <c r="H18" s="24"/>
      <c r="I18" s="39"/>
      <c r="J18" s="39"/>
      <c r="L18" s="40" t="s">
        <v>197</v>
      </c>
      <c r="M18" s="41" t="s">
        <v>149</v>
      </c>
      <c r="N18" s="6" t="s">
        <v>198</v>
      </c>
      <c r="T18" s="15" t="s">
        <v>199</v>
      </c>
      <c r="U18" s="15" t="n">
        <f aca="false">0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IF(Y18=1,IF(ISNUMBER(E18),1,0),IF(AH18="",0,IF(IF($U$35=1,COUNTIF($AH$6:$AK$25,"&gt;"&amp;AH18),COUNTIF($AM$6:$AP$25,"&gt;"&amp;AH18))+COUNTIF($AH$6:$AK$17,AH18)+1&lt;=$U$45,1,0)))</f>
        <v>0</v>
      </c>
      <c r="AS18" s="15" t="n">
        <f aca="false">IF(Y18=1,IF(ISNUMBER(F18),1,0),IF(AI18="",0,IF(IF($U$35=1,COUNTIF($AH$6:$AK$25,"&gt;"&amp;AI18),COUNTIF($AM$6:$AP$25,"&gt;"&amp;AI18))+COUNTIF($AH$6:$AK$17,AI18)+COUNTIF($AH18:AH18,AI18)+1&lt;=$U$45,1,0)))</f>
        <v>0</v>
      </c>
      <c r="AT18" s="15" t="n">
        <f aca="false">IF(Y18=1,IF(ISNUMBER(G18),1,0),IF(AJ18="",0,IF(IF($U$35=1,COUNTIF($AH$6:$AK$25,"&gt;"&amp;AJ18),COUNTIF($AM$6:$AP$25,"&gt;"&amp;AJ18))+COUNTIF($AH$6:$AK$17,AJ18)+COUNTIF($AH18:AI18,AJ18)+1&lt;=$U$45,1,0)))</f>
        <v>0</v>
      </c>
      <c r="AU18" s="15" t="n">
        <f aca="false">IF(Y18=1,IF(ISNUMBER(H18),1,0),IF(AK18="",0,IF(IF($U$35=1,COUNTIF($AH$6:$AK$25,"&gt;"&amp;AK18),COUNTIF($AM$6:$AP$25,"&gt;"&amp;AK18))+COUNTIF($AH$6:$AK$17,AK18)+COUNTIF($AH18:AJ18,AK18)+1&lt;=$U$45,1,0)))</f>
        <v>0</v>
      </c>
      <c r="BZ18" s="15" t="n">
        <f aca="false">IFERROR(LARGE($AH$6:$AK$25,17),0)</f>
        <v>0</v>
      </c>
      <c r="CA18" s="15" t="n">
        <f aca="false">CA17+BZ18</f>
        <v>0</v>
      </c>
      <c r="CB18" s="15" t="n">
        <f aca="false">IFERROR(LARGE($AM$6:$AP$25,17),0)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200</v>
      </c>
      <c r="C19" s="37"/>
      <c r="D19" s="38"/>
      <c r="E19" s="24"/>
      <c r="F19" s="24"/>
      <c r="G19" s="24"/>
      <c r="H19" s="24"/>
      <c r="I19" s="39"/>
      <c r="J19" s="39"/>
      <c r="L19" s="42" t="s">
        <v>201</v>
      </c>
      <c r="M19" s="43" t="str">
        <f aca="false">IF($U$4=0,"",IF($U$47=1,"✓ erfüllt","✗ nicht erfüllt"))</f>
        <v/>
      </c>
      <c r="N19" s="36" t="str">
        <f aca="false">IF($U$4=0,"",$U$36&amp;" Punkte")</f>
        <v/>
      </c>
      <c r="T19" s="15" t="s">
        <v>202</v>
      </c>
      <c r="U19" s="15" t="n">
        <f aca="false">BQ6+BQ7+BQ8+BQ9+BQ10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IF(Y19=1,IF(ISNUMBER(E19),1,0),IF(AH19="",0,IF(IF($U$35=1,COUNTIF($AH$6:$AK$25,"&gt;"&amp;AH19),COUNTIF($AM$6:$AP$25,"&gt;"&amp;AH19))+COUNTIF($AH$6:$AK$18,AH19)+1&lt;=$U$45,1,0)))</f>
        <v>0</v>
      </c>
      <c r="AS19" s="15" t="n">
        <f aca="false">IF(Y19=1,IF(ISNUMBER(F19),1,0),IF(AI19="",0,IF(IF($U$35=1,COUNTIF($AH$6:$AK$25,"&gt;"&amp;AI19),COUNTIF($AM$6:$AP$25,"&gt;"&amp;AI19))+COUNTIF($AH$6:$AK$18,AI19)+COUNTIF($AH19:AH19,AI19)+1&lt;=$U$45,1,0)))</f>
        <v>0</v>
      </c>
      <c r="AT19" s="15" t="n">
        <f aca="false">IF(Y19=1,IF(ISNUMBER(G19),1,0),IF(AJ19="",0,IF(IF($U$35=1,COUNTIF($AH$6:$AK$25,"&gt;"&amp;AJ19),COUNTIF($AM$6:$AP$25,"&gt;"&amp;AJ19))+COUNTIF($AH$6:$AK$18,AJ19)+COUNTIF($AH19:AI19,AJ19)+1&lt;=$U$45,1,0)))</f>
        <v>0</v>
      </c>
      <c r="AU19" s="15" t="n">
        <f aca="false">IF(Y19=1,IF(ISNUMBER(H19),1,0),IF(AK19="",0,IF(IF($U$35=1,COUNTIF($AH$6:$AK$25,"&gt;"&amp;AK19),COUNTIF($AM$6:$AP$25,"&gt;"&amp;AK19))+COUNTIF($AH$6:$AK$18,AK19)+COUNTIF($AH19:AJ19,AK19)+1&lt;=$U$45,1,0)))</f>
        <v>0</v>
      </c>
      <c r="BZ19" s="15" t="n">
        <f aca="false">IFERROR(LARGE($AH$6:$AK$25,18),0)</f>
        <v>0</v>
      </c>
      <c r="CA19" s="15" t="n">
        <f aca="false">CA18+BZ19</f>
        <v>0</v>
      </c>
      <c r="CB19" s="15" t="n">
        <f aca="false">IFERROR(LARGE($AM$6:$AP$25,18),0)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203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"&amp;$U$39&amp;" Unterkurse (unter 5 Punkten)"</f>
        <v>Höchstens 6 Unterkurse (unter 5 Punkten)</v>
      </c>
      <c r="M20" s="43" t="str">
        <f aca="false">IF($U$4=0,"",IF($U$48=1,"✓ erfüllt","✗ nicht erfüllt"))</f>
        <v/>
      </c>
      <c r="N20" s="36" t="str">
        <f aca="false">IF($U$4=0,"",$U$38&amp;" Unterkurse")</f>
        <v/>
      </c>
      <c r="T20" s="15" t="s">
        <v>204</v>
      </c>
      <c r="U20" s="15" t="n">
        <f aca="false">BR6+BR7+BR8+BR9+BR10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IF(Y20=1,IF(ISNUMBER(E20),1,0),IF(AH20="",0,IF(IF($U$35=1,COUNTIF($AH$6:$AK$25,"&gt;"&amp;AH20),COUNTIF($AM$6:$AP$25,"&gt;"&amp;AH20))+COUNTIF($AH$6:$AK$19,AH20)+1&lt;=$U$45,1,0)))</f>
        <v>0</v>
      </c>
      <c r="AS20" s="15" t="n">
        <f aca="false">IF(Y20=1,IF(ISNUMBER(F20),1,0),IF(AI20="",0,IF(IF($U$35=1,COUNTIF($AH$6:$AK$25,"&gt;"&amp;AI20),COUNTIF($AM$6:$AP$25,"&gt;"&amp;AI20))+COUNTIF($AH$6:$AK$19,AI20)+COUNTIF($AH20:AH20,AI20)+1&lt;=$U$45,1,0)))</f>
        <v>0</v>
      </c>
      <c r="AT20" s="15" t="n">
        <f aca="false">IF(Y20=1,IF(ISNUMBER(G20),1,0),IF(AJ20="",0,IF(IF($U$35=1,COUNTIF($AH$6:$AK$25,"&gt;"&amp;AJ20),COUNTIF($AM$6:$AP$25,"&gt;"&amp;AJ20))+COUNTIF($AH$6:$AK$19,AJ20)+COUNTIF($AH20:AI20,AJ20)+1&lt;=$U$45,1,0)))</f>
        <v>0</v>
      </c>
      <c r="AU20" s="15" t="n">
        <f aca="false">IF(Y20=1,IF(ISNUMBER(H20),1,0),IF(AK20="",0,IF(IF($U$35=1,COUNTIF($AH$6:$AK$25,"&gt;"&amp;AK20),COUNTIF($AM$6:$AP$25,"&gt;"&amp;AK20))+COUNTIF($AH$6:$AK$19,AK20)+COUNTIF($AH20:AJ20,AK20)+1&lt;=$U$45,1,0)))</f>
        <v>0</v>
      </c>
      <c r="BZ20" s="15" t="n">
        <f aca="false">IFERROR(LARGE($AH$6:$AK$25,19),0)</f>
        <v>0</v>
      </c>
      <c r="CA20" s="15" t="n">
        <f aca="false">CA19+BZ20</f>
        <v>0</v>
      </c>
      <c r="CB20" s="15" t="n">
        <f aca="false">IFERROR(LARGE($AM$6:$AP$25,19),0)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205</v>
      </c>
      <c r="C21" s="37"/>
      <c r="D21" s="38"/>
      <c r="E21" s="24"/>
      <c r="F21" s="24"/>
      <c r="G21" s="24"/>
      <c r="H21" s="24"/>
      <c r="I21" s="39"/>
      <c r="J21" s="39"/>
      <c r="L21" s="42" t="s">
        <v>206</v>
      </c>
      <c r="M21" s="43" t="str">
        <f aca="false">IF($U$4=0,"",IF($U$49=1,"✓ erfüllt","✗ nicht erfüllt"))</f>
        <v/>
      </c>
      <c r="N21" s="36" t="str">
        <f aca="false">IF($U$4=0,"",$U$58&amp;" Unterkurse")</f>
        <v/>
      </c>
      <c r="T21" s="15" t="s">
        <v>207</v>
      </c>
      <c r="U21" s="15" t="n">
        <f aca="false">MIN(300,INT((SUM(BU6,BU7,BU8,BU9,BU10))+0.5+0.000000001))</f>
        <v>140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IF(Y21=1,IF(ISNUMBER(E21),1,0),IF(AH21="",0,IF(IF($U$35=1,COUNTIF($AH$6:$AK$25,"&gt;"&amp;AH21),COUNTIF($AM$6:$AP$25,"&gt;"&amp;AH21))+COUNTIF($AH$6:$AK$20,AH21)+1&lt;=$U$45,1,0)))</f>
        <v>0</v>
      </c>
      <c r="AS21" s="15" t="n">
        <f aca="false">IF(Y21=1,IF(ISNUMBER(F21),1,0),IF(AI21="",0,IF(IF($U$35=1,COUNTIF($AH$6:$AK$25,"&gt;"&amp;AI21),COUNTIF($AM$6:$AP$25,"&gt;"&amp;AI21))+COUNTIF($AH$6:$AK$20,AI21)+COUNTIF($AH21:AH21,AI21)+1&lt;=$U$45,1,0)))</f>
        <v>0</v>
      </c>
      <c r="AT21" s="15" t="n">
        <f aca="false">IF(Y21=1,IF(ISNUMBER(G21),1,0),IF(AJ21="",0,IF(IF($U$35=1,COUNTIF($AH$6:$AK$25,"&gt;"&amp;AJ21),COUNTIF($AM$6:$AP$25,"&gt;"&amp;AJ21))+COUNTIF($AH$6:$AK$20,AJ21)+COUNTIF($AH21:AI21,AJ21)+1&lt;=$U$45,1,0)))</f>
        <v>0</v>
      </c>
      <c r="AU21" s="15" t="n">
        <f aca="false">IF(Y21=1,IF(ISNUMBER(H21),1,0),IF(AK21="",0,IF(IF($U$35=1,COUNTIF($AH$6:$AK$25,"&gt;"&amp;AK21),COUNTIF($AM$6:$AP$25,"&gt;"&amp;AK21))+COUNTIF($AH$6:$AK$20,AK21)+COUNTIF($AH21:AJ21,AK21)+1&lt;=$U$45,1,0)))</f>
        <v>0</v>
      </c>
      <c r="BZ21" s="15" t="n">
        <f aca="false">IFERROR(LARGE($AH$6:$AK$25,20),0)</f>
        <v>0</v>
      </c>
      <c r="CA21" s="15" t="n">
        <f aca="false">CA20+BZ21</f>
        <v>0</v>
      </c>
      <c r="CB21" s="15" t="n">
        <f aca="false">IFERROR(LARGE($AM$6:$AP$25,20),0)</f>
        <v>0</v>
      </c>
      <c r="CC21" s="15" t="n">
        <f aca="false">CC20+CB21</f>
        <v>0</v>
      </c>
    </row>
    <row r="22" customFormat="false" ht="15" hidden="false" customHeight="false" outlineLevel="0" collapsed="false">
      <c r="B22" s="36" t="s">
        <v>208</v>
      </c>
      <c r="C22" s="37"/>
      <c r="D22" s="38"/>
      <c r="E22" s="24"/>
      <c r="F22" s="24"/>
      <c r="G22" s="24"/>
      <c r="H22" s="24"/>
      <c r="I22" s="39"/>
      <c r="J22" s="39"/>
      <c r="L22" s="42" t="s">
        <v>209</v>
      </c>
      <c r="M22" s="43" t="str">
        <f aca="false">IF($U$4=0,"",IF($U$53=1,"✓ erfüllt","✗ nicht erfüllt"))</f>
        <v/>
      </c>
      <c r="N22" s="36" t="str">
        <f aca="false">IF($U$4=0,"",$U$12&amp;" mit 0 Punkten")</f>
        <v/>
      </c>
      <c r="T22" s="15" t="s">
        <v>210</v>
      </c>
      <c r="U22" s="15" t="n">
        <f aca="false">SUM(BV6,BV7,BV8,BV9,BV10)</f>
        <v>5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IF(Y22=1,IF(ISNUMBER(E22),1,0),IF(AH22="",0,IF(IF($U$35=1,COUNTIF($AH$6:$AK$25,"&gt;"&amp;AH22),COUNTIF($AM$6:$AP$25,"&gt;"&amp;AH22))+COUNTIF($AH$6:$AK$21,AH22)+1&lt;=$U$45,1,0)))</f>
        <v>0</v>
      </c>
      <c r="AS22" s="15" t="n">
        <f aca="false">IF(Y22=1,IF(ISNUMBER(F22),1,0),IF(AI22="",0,IF(IF($U$35=1,COUNTIF($AH$6:$AK$25,"&gt;"&amp;AI22),COUNTIF($AM$6:$AP$25,"&gt;"&amp;AI22))+COUNTIF($AH$6:$AK$21,AI22)+COUNTIF($AH22:AH22,AI22)+1&lt;=$U$45,1,0)))</f>
        <v>0</v>
      </c>
      <c r="AT22" s="15" t="n">
        <f aca="false">IF(Y22=1,IF(ISNUMBER(G22),1,0),IF(AJ22="",0,IF(IF($U$35=1,COUNTIF($AH$6:$AK$25,"&gt;"&amp;AJ22),COUNTIF($AM$6:$AP$25,"&gt;"&amp;AJ22))+COUNTIF($AH$6:$AK$21,AJ22)+COUNTIF($AH22:AI22,AJ22)+1&lt;=$U$45,1,0)))</f>
        <v>0</v>
      </c>
      <c r="AU22" s="15" t="n">
        <f aca="false">IF(Y22=1,IF(ISNUMBER(H22),1,0),IF(AK22="",0,IF(IF($U$35=1,COUNTIF($AH$6:$AK$25,"&gt;"&amp;AK22),COUNTIF($AM$6:$AP$25,"&gt;"&amp;AK22))+COUNTIF($AH$6:$AK$21,AK22)+COUNTIF($AH22:AJ22,AK22)+1&lt;=$U$45,1,0)))</f>
        <v>0</v>
      </c>
      <c r="BZ22" s="15" t="n">
        <f aca="false">IFERROR(LARGE($AH$6:$AK$25,21),0)</f>
        <v>0</v>
      </c>
      <c r="CA22" s="15" t="n">
        <f aca="false">CA21+BZ22</f>
        <v>0</v>
      </c>
      <c r="CB22" s="15" t="n">
        <f aca="false">IFERROR(LARGE($AM$6:$AP$25,21),0)</f>
        <v>0</v>
      </c>
      <c r="CC22" s="15" t="n">
        <f aca="false">CC21+CB22</f>
        <v>0</v>
      </c>
      <c r="CE22" s="15" t="s">
        <v>79</v>
      </c>
      <c r="CF22" s="15" t="s">
        <v>80</v>
      </c>
      <c r="CG22" s="15" t="s">
        <v>81</v>
      </c>
      <c r="CH22" s="15" t="s">
        <v>82</v>
      </c>
      <c r="CI22" s="15" t="s">
        <v>83</v>
      </c>
      <c r="CJ22" s="15" t="s">
        <v>84</v>
      </c>
      <c r="CK22" s="15" t="s">
        <v>85</v>
      </c>
      <c r="CL22" s="15" t="s">
        <v>86</v>
      </c>
      <c r="CM22" s="15" t="s">
        <v>87</v>
      </c>
      <c r="CN22" s="15" t="s">
        <v>88</v>
      </c>
      <c r="CO22" s="15" t="s">
        <v>89</v>
      </c>
      <c r="CP22" s="15" t="s">
        <v>90</v>
      </c>
      <c r="CQ22" s="15" t="s">
        <v>91</v>
      </c>
      <c r="CR22" s="15" t="s">
        <v>92</v>
      </c>
      <c r="CS22" s="15" t="s">
        <v>93</v>
      </c>
      <c r="CT22" s="15" t="s">
        <v>94</v>
      </c>
      <c r="CU22" s="15" t="s">
        <v>95</v>
      </c>
      <c r="CV22" s="15" t="s">
        <v>96</v>
      </c>
      <c r="CW22" s="15" t="s">
        <v>97</v>
      </c>
      <c r="CX22" s="15" t="s">
        <v>98</v>
      </c>
      <c r="CY22" s="15" t="s">
        <v>99</v>
      </c>
      <c r="CZ22" s="15" t="s">
        <v>100</v>
      </c>
      <c r="DA22" s="15" t="s">
        <v>101</v>
      </c>
      <c r="DB22" s="15" t="s">
        <v>102</v>
      </c>
      <c r="DC22" s="15" t="s">
        <v>103</v>
      </c>
      <c r="DD22" s="15" t="s">
        <v>104</v>
      </c>
      <c r="DE22" s="15" t="s">
        <v>105</v>
      </c>
      <c r="DF22" s="15" t="s">
        <v>106</v>
      </c>
      <c r="DG22" s="15" t="s">
        <v>107</v>
      </c>
      <c r="DH22" s="15" t="s">
        <v>108</v>
      </c>
    </row>
    <row r="23" customFormat="false" ht="22.35" hidden="false" customHeight="false" outlineLevel="0" collapsed="false">
      <c r="B23" s="36" t="s">
        <v>211</v>
      </c>
      <c r="C23" s="37"/>
      <c r="D23" s="38"/>
      <c r="E23" s="24"/>
      <c r="F23" s="24"/>
      <c r="G23" s="24"/>
      <c r="H23" s="24"/>
      <c r="I23" s="39"/>
      <c r="J23" s="39"/>
      <c r="L23" s="42" t="s">
        <v>212</v>
      </c>
      <c r="M23" s="43" t="str">
        <f aca="false">IF($U$4=0,"",IF($U$56=1,"✓ erfüllt","✗ nicht erfüllt"))</f>
        <v/>
      </c>
      <c r="N23" s="36"/>
      <c r="T23" s="15" t="s">
        <v>213</v>
      </c>
      <c r="U23" s="15" t="n">
        <f aca="false">0</f>
        <v>0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IF(Y23=1,IF(ISNUMBER(E23),1,0),IF(AH23="",0,IF(IF($U$35=1,COUNTIF($AH$6:$AK$25,"&gt;"&amp;AH23),COUNTIF($AM$6:$AP$25,"&gt;"&amp;AH23))+COUNTIF($AH$6:$AK$22,AH23)+1&lt;=$U$45,1,0)))</f>
        <v>0</v>
      </c>
      <c r="AS23" s="15" t="n">
        <f aca="false">IF(Y23=1,IF(ISNUMBER(F23),1,0),IF(AI23="",0,IF(IF($U$35=1,COUNTIF($AH$6:$AK$25,"&gt;"&amp;AI23),COUNTIF($AM$6:$AP$25,"&gt;"&amp;AI23))+COUNTIF($AH$6:$AK$22,AI23)+COUNTIF($AH23:AH23,AI23)+1&lt;=$U$45,1,0)))</f>
        <v>0</v>
      </c>
      <c r="AT23" s="15" t="n">
        <f aca="false">IF(Y23=1,IF(ISNUMBER(G23),1,0),IF(AJ23="",0,IF(IF($U$35=1,COUNTIF($AH$6:$AK$25,"&gt;"&amp;AJ23),COUNTIF($AM$6:$AP$25,"&gt;"&amp;AJ23))+COUNTIF($AH$6:$AK$22,AJ23)+COUNTIF($AH23:AI23,AJ23)+1&lt;=$U$45,1,0)))</f>
        <v>0</v>
      </c>
      <c r="AU23" s="15" t="n">
        <f aca="false">IF(Y23=1,IF(ISNUMBER(H23),1,0),IF(AK23="",0,IF(IF($U$35=1,COUNTIF($AH$6:$AK$25,"&gt;"&amp;AK23),COUNTIF($AM$6:$AP$25,"&gt;"&amp;AK23))+COUNTIF($AH$6:$AK$22,AK23)+COUNTIF($AH23:AJ23,AK23)+1&lt;=$U$45,1,0)))</f>
        <v>0</v>
      </c>
      <c r="BZ23" s="15" t="n">
        <f aca="false">IFERROR(LARGE($AH$6:$AK$25,22),0)</f>
        <v>0</v>
      </c>
      <c r="CA23" s="15" t="n">
        <f aca="false">CA22+BZ23</f>
        <v>0</v>
      </c>
      <c r="CB23" s="15" t="n">
        <f aca="false">IFERROR(LARGE($AM$6:$AP$25,22),0)</f>
        <v>0</v>
      </c>
      <c r="CC23" s="15" t="n">
        <f aca="false">CC22+CB23</f>
        <v>0</v>
      </c>
      <c r="CE23" s="15" t="n">
        <f aca="false">32</f>
        <v>32</v>
      </c>
      <c r="CF23" s="15" t="n">
        <f aca="false">CE23-$V$5-$V$6-0</f>
        <v>12</v>
      </c>
      <c r="CG23" s="15" t="n">
        <f aca="false">MAX(0,CF23)</f>
        <v>12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12</v>
      </c>
      <c r="CK23" s="15" t="n">
        <f aca="false">$V$5+CH23+CJ23</f>
        <v>32</v>
      </c>
      <c r="CL23" s="15" t="n">
        <f aca="false">2*BE6+2*BF6+2*BE7+2*BF7+1*BE8+1*BF8</f>
        <v>140</v>
      </c>
      <c r="CM23" s="15" t="n">
        <f aca="false">2*BG6+2*BH6+2*BG7+2*BH7+1*BG8+1*BH8+1*BG9+1*BH9+1*BG10+1*BH10+SUM($AE$12:$AE$25)</f>
        <v>28</v>
      </c>
      <c r="CN23" s="15" t="n">
        <f aca="false">IF(CH23=0,0,INDEX($CC$2:$CC$57,CH23))</f>
        <v>0</v>
      </c>
      <c r="CO23" s="15" t="n">
        <f aca="false">CL23+$V$11+CN23+CJ23*$U$2</f>
        <v>280</v>
      </c>
      <c r="CP23" s="15" t="n">
        <f aca="false">CM23+CH23+CJ23</f>
        <v>40</v>
      </c>
      <c r="CQ23" s="15" t="n">
        <f aca="false">IF(CP23&gt;0,MIN(600,INT((CO23/CP23*40)+0.5+0.000000001)),0)</f>
        <v>280</v>
      </c>
      <c r="CR23" s="15" t="n">
        <f aca="false">$V$9+CT23</f>
        <v>0</v>
      </c>
      <c r="CS23" s="15" t="n">
        <f aca="false">IF(CK23&lt;32,6,IF(CK23&gt;36,7,CHOOSE(CK23-31,6,6,6,7,7)))</f>
        <v>6</v>
      </c>
      <c r="CT23" s="15" t="n">
        <f aca="false">$V$10+MAX(0,CH23-$V$8)+CJ23*IF($U$2&lt;5,1,0)</f>
        <v>0</v>
      </c>
      <c r="CU23" s="15" t="n">
        <f aca="false">$V$11+CN23+CJ23*$U$2</f>
        <v>140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IF($V$9&lt;=3,1,0)</f>
        <v>1</v>
      </c>
      <c r="CY23" s="15" t="n">
        <f aca="false">1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1028068</v>
      </c>
    </row>
    <row r="24" customFormat="false" ht="15" hidden="false" customHeight="false" outlineLevel="0" collapsed="false">
      <c r="B24" s="36" t="s">
        <v>214</v>
      </c>
      <c r="C24" s="37"/>
      <c r="D24" s="38"/>
      <c r="E24" s="24"/>
      <c r="F24" s="24"/>
      <c r="G24" s="24"/>
      <c r="H24" s="24"/>
      <c r="I24" s="39"/>
      <c r="J24" s="39"/>
      <c r="L24" s="42" t="s">
        <v>215</v>
      </c>
      <c r="M24" s="43" t="str">
        <f aca="false">IF($U$4=0,"",IF($U$61=1,"✓ erfüllt","✗ nicht erfüllt"))</f>
        <v/>
      </c>
      <c r="N24" s="36" t="str">
        <f aca="false">IF($U$4=0,"",$U$59&amp;" Punkte")</f>
        <v/>
      </c>
      <c r="T24" s="15" t="s">
        <v>216</v>
      </c>
      <c r="U24" s="15" t="n">
        <f aca="false">BW6+BW7+BW8+BW9+BW10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IF(Y24=1,IF(ISNUMBER(E24),1,0),IF(AH24="",0,IF(IF($U$35=1,COUNTIF($AH$6:$AK$25,"&gt;"&amp;AH24),COUNTIF($AM$6:$AP$25,"&gt;"&amp;AH24))+COUNTIF($AH$6:$AK$23,AH24)+1&lt;=$U$45,1,0)))</f>
        <v>0</v>
      </c>
      <c r="AS24" s="15" t="n">
        <f aca="false">IF(Y24=1,IF(ISNUMBER(F24),1,0),IF(AI24="",0,IF(IF($U$35=1,COUNTIF($AH$6:$AK$25,"&gt;"&amp;AI24),COUNTIF($AM$6:$AP$25,"&gt;"&amp;AI24))+COUNTIF($AH$6:$AK$23,AI24)+COUNTIF($AH24:AH24,AI24)+1&lt;=$U$45,1,0)))</f>
        <v>0</v>
      </c>
      <c r="AT24" s="15" t="n">
        <f aca="false">IF(Y24=1,IF(ISNUMBER(G24),1,0),IF(AJ24="",0,IF(IF($U$35=1,COUNTIF($AH$6:$AK$25,"&gt;"&amp;AJ24),COUNTIF($AM$6:$AP$25,"&gt;"&amp;AJ24))+COUNTIF($AH$6:$AK$23,AJ24)+COUNTIF($AH24:AI24,AJ24)+1&lt;=$U$45,1,0)))</f>
        <v>0</v>
      </c>
      <c r="AU24" s="15" t="n">
        <f aca="false">IF(Y24=1,IF(ISNUMBER(H24),1,0),IF(AK24="",0,IF(IF($U$35=1,COUNTIF($AH$6:$AK$25,"&gt;"&amp;AK24),COUNTIF($AM$6:$AP$25,"&gt;"&amp;AK24))+COUNTIF($AH$6:$AK$23,AK24)+COUNTIF($AH24:AJ24,AK24)+1&lt;=$U$45,1,0)))</f>
        <v>0</v>
      </c>
      <c r="BZ24" s="15" t="n">
        <f aca="false">IFERROR(LARGE($AH$6:$AK$25,23),0)</f>
        <v>0</v>
      </c>
      <c r="CA24" s="15" t="n">
        <f aca="false">CA23+BZ24</f>
        <v>0</v>
      </c>
      <c r="CB24" s="15" t="n">
        <f aca="false">IFERROR(LARGE($AM$6:$AP$25,23),0)</f>
        <v>0</v>
      </c>
      <c r="CC24" s="15" t="n">
        <f aca="false">CC23+CB24</f>
        <v>0</v>
      </c>
      <c r="CE24" s="15" t="n">
        <f aca="false">33</f>
        <v>33</v>
      </c>
      <c r="CF24" s="15" t="n">
        <f aca="false">CE24-$V$5-$V$6-0</f>
        <v>13</v>
      </c>
      <c r="CG24" s="15" t="n">
        <f aca="false">MAX(0,CF24)</f>
        <v>13</v>
      </c>
      <c r="CH24" s="15" t="n">
        <f aca="false">MIN(CG24,$V$7)</f>
        <v>0</v>
      </c>
      <c r="CI24" s="15" t="n">
        <f aca="false">0</f>
        <v>0</v>
      </c>
      <c r="CJ24" s="15" t="n">
        <f aca="false">CG24-CH24</f>
        <v>13</v>
      </c>
      <c r="CK24" s="15" t="n">
        <f aca="false">$V$5+CH24+CJ24</f>
        <v>33</v>
      </c>
      <c r="CL24" s="15" t="n">
        <f aca="false">2*BE6+2*BF6+2*BE7+2*BF7+1*BE8+1*BF8</f>
        <v>140</v>
      </c>
      <c r="CM24" s="15" t="n">
        <f aca="false">2*BG6+2*BH6+2*BG7+2*BH7+1*BG8+1*BH8+1*BG9+1*BH9+1*BG10+1*BH10+SUM($AE$12:$AE$25)</f>
        <v>28</v>
      </c>
      <c r="CN24" s="15" t="n">
        <f aca="false">IF(CH24=0,0,INDEX($CC$2:$CC$57,CH24))</f>
        <v>0</v>
      </c>
      <c r="CO24" s="15" t="n">
        <f aca="false">CL24+$V$11+CN24+CJ24*$U$2</f>
        <v>287</v>
      </c>
      <c r="CP24" s="15" t="n">
        <f aca="false">CM24+CH24+CJ24</f>
        <v>41</v>
      </c>
      <c r="CQ24" s="15" t="n">
        <f aca="false">IF(CP24&gt;0,MIN(600,INT((CO24/CP24*40)+0.5+0.000000001)),0)</f>
        <v>280</v>
      </c>
      <c r="CR24" s="15" t="n">
        <f aca="false">$V$9+CT24</f>
        <v>0</v>
      </c>
      <c r="CS24" s="15" t="n">
        <f aca="false">IF(CK24&lt;32,6,IF(CK24&gt;36,7,CHOOSE(CK24-31,6,6,6,7,7)))</f>
        <v>6</v>
      </c>
      <c r="CT24" s="15" t="n">
        <f aca="false">$V$10+MAX(0,CH24-$V$8)+CJ24*IF($U$2&lt;5,1,0)</f>
        <v>0</v>
      </c>
      <c r="CU24" s="15" t="n">
        <f aca="false">$V$11+CN24+CJ24*$U$2</f>
        <v>147</v>
      </c>
      <c r="CV24" s="15" t="n">
        <f aca="false">IF(CQ24&gt;=200,1,0)</f>
        <v>1</v>
      </c>
      <c r="CW24" s="15" t="n">
        <f aca="false">IF(CR24&lt;=CS24,1,0)</f>
        <v>1</v>
      </c>
      <c r="CX24" s="15" t="n">
        <f aca="false">IF($V$9&lt;=3,1,0)</f>
        <v>1</v>
      </c>
      <c r="CY24" s="15" t="n">
        <f aca="false">1</f>
        <v>1</v>
      </c>
      <c r="CZ24" s="15" t="n">
        <f aca="false">1</f>
        <v>1</v>
      </c>
      <c r="DA24" s="15" t="n">
        <f aca="false">1</f>
        <v>1</v>
      </c>
      <c r="DB24" s="15" t="n">
        <f aca="false">IF($U$12=0,1,0)</f>
        <v>1</v>
      </c>
      <c r="DC24" s="15" t="n">
        <f aca="false">1</f>
        <v>1</v>
      </c>
      <c r="DD24" s="15" t="n">
        <f aca="false">1</f>
        <v>1</v>
      </c>
      <c r="DE24" s="15" t="n">
        <f aca="false">IF(CF24&lt;0,0,1)</f>
        <v>1</v>
      </c>
      <c r="DF24" s="15" t="n">
        <f aca="false">IF(CV24*CW24*CX24*CY24*CZ24*DA24*DB24*DC24*DD24*DE24=1,1,0)</f>
        <v>1</v>
      </c>
      <c r="DG24" s="15" t="n">
        <f aca="false">$V$6+CI24</f>
        <v>0</v>
      </c>
      <c r="DH24" s="15" t="n">
        <f aca="false">DF24*1000000+CQ24*100+(100-CK24)</f>
        <v>1028067</v>
      </c>
    </row>
    <row r="25" customFormat="false" ht="15" hidden="false" customHeight="false" outlineLevel="0" collapsed="false">
      <c r="B25" s="36" t="s">
        <v>217</v>
      </c>
      <c r="C25" s="37"/>
      <c r="D25" s="38"/>
      <c r="E25" s="24"/>
      <c r="F25" s="24"/>
      <c r="G25" s="24"/>
      <c r="H25" s="24"/>
      <c r="I25" s="39"/>
      <c r="J25" s="39"/>
      <c r="L25" s="42" t="str">
        <f aca="false">"In mindestens "&amp;$U$26&amp;" Prüfungen mindestens 5 Punkte (einfach)"</f>
        <v>In mindestens 3 Prüfungen mindestens 5 Punkte (einfach)</v>
      </c>
      <c r="M25" s="43" t="str">
        <f aca="false">IF($U$4=0,"",IF($U$62=1,"✓ erfüllt","✗ nicht erfüllt"))</f>
        <v/>
      </c>
      <c r="N25" s="36" t="str">
        <f aca="false">IF($U$4=0,"",$U$60&amp;" Prüfungen")</f>
        <v/>
      </c>
      <c r="T25" s="15" t="s">
        <v>218</v>
      </c>
      <c r="U25" s="15" t="n">
        <f aca="false">BX6+BX7+BX8+BX9+BX10</f>
        <v>0</v>
      </c>
      <c r="X25" s="15" t="n">
        <f aca="false">IF(OR(LEN(TRIM(C25))&gt;0,COUNT(E25:H25)&gt;0),1,0)</f>
        <v>0</v>
      </c>
      <c r="Y25" s="15" t="n">
        <f aca="false">IF(LEN(TRIM(D25))&gt;0,1,0)</f>
        <v>0</v>
      </c>
      <c r="Z25" s="15" t="n">
        <f aca="false">Y25*SUM(E25:H25)</f>
        <v>0</v>
      </c>
      <c r="AA25" s="15" t="n">
        <f aca="false">Y25*COUNT(E25:H25)</f>
        <v>0</v>
      </c>
      <c r="AB25" s="15" t="n">
        <f aca="false">Y25*COUNTIF(E25:H25,"&lt;5")</f>
        <v>0</v>
      </c>
      <c r="AC25" s="15" t="n">
        <f aca="false">Y25*COUNTIF(E25:H25,0)</f>
        <v>0</v>
      </c>
      <c r="AD25" s="15" t="n">
        <f aca="false">Y25*(SUM(E25:H25)+X25*$U$2*(4-COUNT(E25:H25)))</f>
        <v>0</v>
      </c>
      <c r="AE25" s="15" t="n">
        <f aca="false">Y25*(COUNT(E25:H25)+X25*(4-COUNT(E25:H25)))</f>
        <v>0</v>
      </c>
      <c r="AF25" s="15" t="n">
        <f aca="false">Y25*(COUNTIF(E25:H25,"&lt;5")+X25*IF($U$2&lt;5,1,0)*(4-COUNT(E25:H25)))</f>
        <v>0</v>
      </c>
      <c r="AH25" s="15" t="str">
        <f aca="false">IF(Y25=1,"",IF(ISNUMBER(E25),IF(E25=0,"",E25),""))</f>
        <v/>
      </c>
      <c r="AI25" s="15" t="str">
        <f aca="false">IF(Y25=1,"",IF(ISNUMBER(F25),IF(F25=0,"",F25),""))</f>
        <v/>
      </c>
      <c r="AJ25" s="15" t="str">
        <f aca="false">IF(Y25=1,"",IF(ISNUMBER(G25),IF(G25=0,"",G25),""))</f>
        <v/>
      </c>
      <c r="AK25" s="15" t="str">
        <f aca="false">IF(Y25=1,"",IF(ISNUMBER(H25),IF(H25=0,"",H25),""))</f>
        <v/>
      </c>
      <c r="AM25" s="15" t="str">
        <f aca="false">IF(Y25=1,"",IF(ISNUMBER(E25),IF(E25=0,"",E25),IF(X25=1,$U$2,"")))</f>
        <v/>
      </c>
      <c r="AN25" s="15" t="str">
        <f aca="false">IF(Y25=1,"",IF(ISNUMBER(F25),IF(F25=0,"",F25),IF(X25=1,$U$2,"")))</f>
        <v/>
      </c>
      <c r="AO25" s="15" t="str">
        <f aca="false">IF(Y25=1,"",IF(ISNUMBER(G25),IF(G25=0,"",G25),IF(X25=1,$U$2,"")))</f>
        <v/>
      </c>
      <c r="AP25" s="15" t="str">
        <f aca="false">IF(Y25=1,"",IF(ISNUMBER(H25),IF(H25=0,"",H25),IF(X25=1,$U$2,"")))</f>
        <v/>
      </c>
      <c r="AR25" s="15" t="n">
        <f aca="false">IF(Y25=1,IF(ISNUMBER(E25),1,0),IF(AH25="",0,IF(IF($U$35=1,COUNTIF($AH$6:$AK$25,"&gt;"&amp;AH25),COUNTIF($AM$6:$AP$25,"&gt;"&amp;AH25))+COUNTIF($AH$6:$AK$24,AH25)+1&lt;=$U$45,1,0)))</f>
        <v>0</v>
      </c>
      <c r="AS25" s="15" t="n">
        <f aca="false">IF(Y25=1,IF(ISNUMBER(F25),1,0),IF(AI25="",0,IF(IF($U$35=1,COUNTIF($AH$6:$AK$25,"&gt;"&amp;AI25),COUNTIF($AM$6:$AP$25,"&gt;"&amp;AI25))+COUNTIF($AH$6:$AK$24,AI25)+COUNTIF($AH25:AH25,AI25)+1&lt;=$U$45,1,0)))</f>
        <v>0</v>
      </c>
      <c r="AT25" s="15" t="n">
        <f aca="false">IF(Y25=1,IF(ISNUMBER(G25),1,0),IF(AJ25="",0,IF(IF($U$35=1,COUNTIF($AH$6:$AK$25,"&gt;"&amp;AJ25),COUNTIF($AM$6:$AP$25,"&gt;"&amp;AJ25))+COUNTIF($AH$6:$AK$24,AJ25)+COUNTIF($AH25:AI25,AJ25)+1&lt;=$U$45,1,0)))</f>
        <v>0</v>
      </c>
      <c r="AU25" s="15" t="n">
        <f aca="false">IF(Y25=1,IF(ISNUMBER(H25),1,0),IF(AK25="",0,IF(IF($U$35=1,COUNTIF($AH$6:$AK$25,"&gt;"&amp;AK25),COUNTIF($AM$6:$AP$25,"&gt;"&amp;AK25))+COUNTIF($AH$6:$AK$24,AK25)+COUNTIF($AH25:AJ25,AK25)+1&lt;=$U$45,1,0)))</f>
        <v>0</v>
      </c>
      <c r="BZ25" s="15" t="n">
        <f aca="false">IFERROR(LARGE($AH$6:$AK$25,24),0)</f>
        <v>0</v>
      </c>
      <c r="CA25" s="15" t="n">
        <f aca="false">CA24+BZ25</f>
        <v>0</v>
      </c>
      <c r="CB25" s="15" t="n">
        <f aca="false">IFERROR(LARGE($AM$6:$AP$25,24),0)</f>
        <v>0</v>
      </c>
      <c r="CC25" s="15" t="n">
        <f aca="false">CC24+CB25</f>
        <v>0</v>
      </c>
      <c r="CE25" s="15" t="n">
        <f aca="false">34</f>
        <v>34</v>
      </c>
      <c r="CF25" s="15" t="n">
        <f aca="false">CE25-$V$5-$V$6-0</f>
        <v>14</v>
      </c>
      <c r="CG25" s="15" t="n">
        <f aca="false">MAX(0,CF25)</f>
        <v>14</v>
      </c>
      <c r="CH25" s="15" t="n">
        <f aca="false">MIN(CG25,$V$7)</f>
        <v>0</v>
      </c>
      <c r="CI25" s="15" t="n">
        <f aca="false">0</f>
        <v>0</v>
      </c>
      <c r="CJ25" s="15" t="n">
        <f aca="false">CG25-CH25</f>
        <v>14</v>
      </c>
      <c r="CK25" s="15" t="n">
        <f aca="false">$V$5+CH25+CJ25</f>
        <v>34</v>
      </c>
      <c r="CL25" s="15" t="n">
        <f aca="false">2*BE6+2*BF6+2*BE7+2*BF7+1*BE8+1*BF8</f>
        <v>140</v>
      </c>
      <c r="CM25" s="15" t="n">
        <f aca="false">2*BG6+2*BH6+2*BG7+2*BH7+1*BG8+1*BH8+1*BG9+1*BH9+1*BG10+1*BH10+SUM($AE$12:$AE$25)</f>
        <v>28</v>
      </c>
      <c r="CN25" s="15" t="n">
        <f aca="false">IF(CH25=0,0,INDEX($CC$2:$CC$57,CH25))</f>
        <v>0</v>
      </c>
      <c r="CO25" s="15" t="n">
        <f aca="false">CL25+$V$11+CN25+CJ25*$U$2</f>
        <v>294</v>
      </c>
      <c r="CP25" s="15" t="n">
        <f aca="false">CM25+CH25+CJ25</f>
        <v>42</v>
      </c>
      <c r="CQ25" s="15" t="n">
        <f aca="false">IF(CP25&gt;0,MIN(600,INT((CO25/CP25*40)+0.5+0.000000001)),0)</f>
        <v>280</v>
      </c>
      <c r="CR25" s="15" t="n">
        <f aca="false">$V$9+CT25</f>
        <v>0</v>
      </c>
      <c r="CS25" s="15" t="n">
        <f aca="false">IF(CK25&lt;32,6,IF(CK25&gt;36,7,CHOOSE(CK25-31,6,6,6,7,7)))</f>
        <v>6</v>
      </c>
      <c r="CT25" s="15" t="n">
        <f aca="false">$V$10+MAX(0,CH25-$V$8)+CJ25*IF($U$2&lt;5,1,0)</f>
        <v>0</v>
      </c>
      <c r="CU25" s="15" t="n">
        <f aca="false">$V$11+CN25+CJ25*$U$2</f>
        <v>154</v>
      </c>
      <c r="CV25" s="15" t="n">
        <f aca="false">IF(CQ25&gt;=200,1,0)</f>
        <v>1</v>
      </c>
      <c r="CW25" s="15" t="n">
        <f aca="false">IF(CR25&lt;=CS25,1,0)</f>
        <v>1</v>
      </c>
      <c r="CX25" s="15" t="n">
        <f aca="false">IF($V$9&lt;=3,1,0)</f>
        <v>1</v>
      </c>
      <c r="CY25" s="15" t="n">
        <f aca="false">1</f>
        <v>1</v>
      </c>
      <c r="CZ25" s="15" t="n">
        <f aca="false">1</f>
        <v>1</v>
      </c>
      <c r="DA25" s="15" t="n">
        <f aca="false">1</f>
        <v>1</v>
      </c>
      <c r="DB25" s="15" t="n">
        <f aca="false">IF($U$12=0,1,0)</f>
        <v>1</v>
      </c>
      <c r="DC25" s="15" t="n">
        <f aca="false">1</f>
        <v>1</v>
      </c>
      <c r="DD25" s="15" t="n">
        <f aca="false">1</f>
        <v>1</v>
      </c>
      <c r="DE25" s="15" t="n">
        <f aca="false">IF(CF25&lt;0,0,1)</f>
        <v>1</v>
      </c>
      <c r="DF25" s="15" t="n">
        <f aca="false">IF(CV25*CW25*CX25*CY25*CZ25*DA25*DB25*DC25*DD25*DE25=1,1,0)</f>
        <v>1</v>
      </c>
      <c r="DG25" s="15" t="n">
        <f aca="false">$V$6+CI25</f>
        <v>0</v>
      </c>
      <c r="DH25" s="15" t="n">
        <f aca="false">DF25*1000000+CQ25*100+(100-CK25)</f>
        <v>1028066</v>
      </c>
    </row>
    <row r="26" customFormat="false" ht="15" hidden="false" customHeight="false" outlineLevel="0" collapsed="false">
      <c r="L26" s="42" t="s">
        <v>221</v>
      </c>
      <c r="M26" s="43" t="str">
        <f aca="false">IF($U$4=0,"",IF($U$65=1,"✓ erfüllt","✗ nicht erfüllt"))</f>
        <v/>
      </c>
      <c r="N26" s="36" t="str">
        <f aca="false">IF($U$4=0,"",$U$64&amp;" Punkte")</f>
        <v/>
      </c>
      <c r="T26" s="15" t="s">
        <v>220</v>
      </c>
      <c r="U26" s="15" t="n">
        <f aca="false">3</f>
        <v>3</v>
      </c>
      <c r="BZ26" s="15" t="n">
        <f aca="false">IFERROR(LARGE($AH$6:$AK$25,25),0)</f>
        <v>0</v>
      </c>
      <c r="CA26" s="15" t="n">
        <f aca="false">CA25+BZ26</f>
        <v>0</v>
      </c>
      <c r="CB26" s="15" t="n">
        <f aca="false">IFERROR(LARGE($AM$6:$AP$25,25),0)</f>
        <v>0</v>
      </c>
      <c r="CC26" s="15" t="n">
        <f aca="false">CC25+CB26</f>
        <v>0</v>
      </c>
      <c r="CE26" s="15" t="n">
        <f aca="false">35</f>
        <v>35</v>
      </c>
      <c r="CF26" s="15" t="n">
        <f aca="false">CE26-$V$5-$V$6-0</f>
        <v>15</v>
      </c>
      <c r="CG26" s="15" t="n">
        <f aca="false">MAX(0,CF26)</f>
        <v>15</v>
      </c>
      <c r="CH26" s="15" t="n">
        <f aca="false">MIN(CG26,$V$7)</f>
        <v>0</v>
      </c>
      <c r="CI26" s="15" t="n">
        <f aca="false">0</f>
        <v>0</v>
      </c>
      <c r="CJ26" s="15" t="n">
        <f aca="false">CG26-CH26</f>
        <v>15</v>
      </c>
      <c r="CK26" s="15" t="n">
        <f aca="false">$V$5+CH26+CJ26</f>
        <v>35</v>
      </c>
      <c r="CL26" s="15" t="n">
        <f aca="false">2*BE6+2*BF6+2*BE7+2*BF7+1*BE8+1*BF8</f>
        <v>140</v>
      </c>
      <c r="CM26" s="15" t="n">
        <f aca="false">2*BG6+2*BH6+2*BG7+2*BH7+1*BG8+1*BH8+1*BG9+1*BH9+1*BG10+1*BH10+SUM($AE$12:$AE$25)</f>
        <v>28</v>
      </c>
      <c r="CN26" s="15" t="n">
        <f aca="false">IF(CH26=0,0,INDEX($CC$2:$CC$57,CH26))</f>
        <v>0</v>
      </c>
      <c r="CO26" s="15" t="n">
        <f aca="false">CL26+$V$11+CN26+CJ26*$U$2</f>
        <v>301</v>
      </c>
      <c r="CP26" s="15" t="n">
        <f aca="false">CM26+CH26+CJ26</f>
        <v>43</v>
      </c>
      <c r="CQ26" s="15" t="n">
        <f aca="false">IF(CP26&gt;0,MIN(600,INT((CO26/CP26*40)+0.5+0.000000001)),0)</f>
        <v>280</v>
      </c>
      <c r="CR26" s="15" t="n">
        <f aca="false">$V$9+CT26</f>
        <v>0</v>
      </c>
      <c r="CS26" s="15" t="n">
        <f aca="false">IF(CK26&lt;32,6,IF(CK26&gt;36,7,CHOOSE(CK26-31,6,6,6,7,7)))</f>
        <v>7</v>
      </c>
      <c r="CT26" s="15" t="n">
        <f aca="false">$V$10+MAX(0,CH26-$V$8)+CJ26*IF($U$2&lt;5,1,0)</f>
        <v>0</v>
      </c>
      <c r="CU26" s="15" t="n">
        <f aca="false">$V$11+CN26+CJ26*$U$2</f>
        <v>161</v>
      </c>
      <c r="CV26" s="15" t="n">
        <f aca="false">IF(CQ26&gt;=200,1,0)</f>
        <v>1</v>
      </c>
      <c r="CW26" s="15" t="n">
        <f aca="false">IF(CR26&lt;=CS26,1,0)</f>
        <v>1</v>
      </c>
      <c r="CX26" s="15" t="n">
        <f aca="false">IF($V$9&lt;=3,1,0)</f>
        <v>1</v>
      </c>
      <c r="CY26" s="15" t="n">
        <f aca="false">1</f>
        <v>1</v>
      </c>
      <c r="CZ26" s="15" t="n">
        <f aca="false">1</f>
        <v>1</v>
      </c>
      <c r="DA26" s="15" t="n">
        <f aca="false">1</f>
        <v>1</v>
      </c>
      <c r="DB26" s="15" t="n">
        <f aca="false">IF($U$12=0,1,0)</f>
        <v>1</v>
      </c>
      <c r="DC26" s="15" t="n">
        <f aca="false">1</f>
        <v>1</v>
      </c>
      <c r="DD26" s="15" t="n">
        <f aca="false">1</f>
        <v>1</v>
      </c>
      <c r="DE26" s="15" t="n">
        <f aca="false">IF(CF26&lt;0,0,1)</f>
        <v>1</v>
      </c>
      <c r="DF26" s="15" t="n">
        <f aca="false">IF(CV26*CW26*CX26*CY26*CZ26*DA26*DB26*DC26*DD26*DE26=1,1,0)</f>
        <v>1</v>
      </c>
      <c r="DG26" s="15" t="n">
        <f aca="false">$V$6+CI26</f>
        <v>0</v>
      </c>
      <c r="DH26" s="15" t="n">
        <f aca="false">DF26*1000000+CQ26*100+(100-CK26)</f>
        <v>1028065</v>
      </c>
    </row>
    <row r="27" customFormat="false" ht="15" hidden="false" customHeight="false" outlineLevel="0" collapsed="false">
      <c r="T27" s="15" t="s">
        <v>222</v>
      </c>
      <c r="U27" s="15" t="n">
        <f aca="false">IF(ISNUMBER($I$6),0,1)+IF(ISNUMBER($I$7),0,1)+IF(ISNUMBER($I$8),0,1)+IF(ISNUMBER($I$9),0,1)+IF(ISNUMBER($I$10),0,1)</f>
        <v>5</v>
      </c>
      <c r="BZ27" s="15" t="n">
        <f aca="false">IFERROR(LARGE($AH$6:$AK$25,26),0)</f>
        <v>0</v>
      </c>
      <c r="CA27" s="15" t="n">
        <f aca="false">CA26+BZ27</f>
        <v>0</v>
      </c>
      <c r="CB27" s="15" t="n">
        <f aca="false">IFERROR(LARGE($AM$6:$AP$25,26),0)</f>
        <v>0</v>
      </c>
      <c r="CC27" s="15" t="n">
        <f aca="false">CC26+CB27</f>
        <v>0</v>
      </c>
      <c r="CE27" s="15" t="n">
        <f aca="false">36</f>
        <v>36</v>
      </c>
      <c r="CF27" s="15" t="n">
        <f aca="false">CE27-$V$5-$V$6-0</f>
        <v>16</v>
      </c>
      <c r="CG27" s="15" t="n">
        <f aca="false">MAX(0,CF27)</f>
        <v>16</v>
      </c>
      <c r="CH27" s="15" t="n">
        <f aca="false">MIN(CG27,$V$7)</f>
        <v>0</v>
      </c>
      <c r="CI27" s="15" t="n">
        <f aca="false">0</f>
        <v>0</v>
      </c>
      <c r="CJ27" s="15" t="n">
        <f aca="false">CG27-CH27</f>
        <v>16</v>
      </c>
      <c r="CK27" s="15" t="n">
        <f aca="false">$V$5+CH27+CJ27</f>
        <v>36</v>
      </c>
      <c r="CL27" s="15" t="n">
        <f aca="false">2*BE6+2*BF6+2*BE7+2*BF7+1*BE8+1*BF8</f>
        <v>140</v>
      </c>
      <c r="CM27" s="15" t="n">
        <f aca="false">2*BG6+2*BH6+2*BG7+2*BH7+1*BG8+1*BH8+1*BG9+1*BH9+1*BG10+1*BH10+SUM($AE$12:$AE$25)</f>
        <v>28</v>
      </c>
      <c r="CN27" s="15" t="n">
        <f aca="false">IF(CH27=0,0,INDEX($CC$2:$CC$57,CH27))</f>
        <v>0</v>
      </c>
      <c r="CO27" s="15" t="n">
        <f aca="false">CL27+$V$11+CN27+CJ27*$U$2</f>
        <v>308</v>
      </c>
      <c r="CP27" s="15" t="n">
        <f aca="false">CM27+CH27+CJ27</f>
        <v>44</v>
      </c>
      <c r="CQ27" s="15" t="n">
        <f aca="false">IF(CP27&gt;0,MIN(600,INT((CO27/CP27*40)+0.5+0.000000001)),0)</f>
        <v>280</v>
      </c>
      <c r="CR27" s="15" t="n">
        <f aca="false">$V$9+CT27</f>
        <v>0</v>
      </c>
      <c r="CS27" s="15" t="n">
        <f aca="false">IF(CK27&lt;32,6,IF(CK27&gt;36,7,CHOOSE(CK27-31,6,6,6,7,7)))</f>
        <v>7</v>
      </c>
      <c r="CT27" s="15" t="n">
        <f aca="false">$V$10+MAX(0,CH27-$V$8)+CJ27*IF($U$2&lt;5,1,0)</f>
        <v>0</v>
      </c>
      <c r="CU27" s="15" t="n">
        <f aca="false">$V$11+CN27+CJ27*$U$2</f>
        <v>168</v>
      </c>
      <c r="CV27" s="15" t="n">
        <f aca="false">IF(CQ27&gt;=200,1,0)</f>
        <v>1</v>
      </c>
      <c r="CW27" s="15" t="n">
        <f aca="false">IF(CR27&lt;=CS27,1,0)</f>
        <v>1</v>
      </c>
      <c r="CX27" s="15" t="n">
        <f aca="false">IF($V$9&lt;=3,1,0)</f>
        <v>1</v>
      </c>
      <c r="CY27" s="15" t="n">
        <f aca="false">1</f>
        <v>1</v>
      </c>
      <c r="CZ27" s="15" t="n">
        <f aca="false">1</f>
        <v>1</v>
      </c>
      <c r="DA27" s="15" t="n">
        <f aca="false">1</f>
        <v>1</v>
      </c>
      <c r="DB27" s="15" t="n">
        <f aca="false">IF($U$12=0,1,0)</f>
        <v>1</v>
      </c>
      <c r="DC27" s="15" t="n">
        <f aca="false">1</f>
        <v>1</v>
      </c>
      <c r="DD27" s="15" t="n">
        <f aca="false">1</f>
        <v>1</v>
      </c>
      <c r="DE27" s="15" t="n">
        <f aca="false">IF(CF27&lt;0,0,1)</f>
        <v>1</v>
      </c>
      <c r="DF27" s="15" t="n">
        <f aca="false">IF(CV27*CW27*CX27*CY27*CZ27*DA27*DB27*DC27*DD27*DE27=1,1,0)</f>
        <v>1</v>
      </c>
      <c r="DG27" s="15" t="n">
        <f aca="false">$V$6+CI27</f>
        <v>0</v>
      </c>
      <c r="DH27" s="15" t="n">
        <f aca="false">DF27*1000000+CQ27*100+(100-CK27)</f>
        <v>1028064</v>
      </c>
    </row>
    <row r="28" customFormat="false" ht="15" hidden="false" customHeight="false" outlineLevel="0" collapsed="false">
      <c r="B28" s="5" t="s">
        <v>405</v>
      </c>
      <c r="L28" s="44" t="s">
        <v>226</v>
      </c>
      <c r="T28" s="15" t="s">
        <v>224</v>
      </c>
      <c r="U28" s="15" t="n">
        <f aca="false">IF($U$16&gt;=100,1,0)</f>
        <v>0</v>
      </c>
      <c r="BZ28" s="15" t="n">
        <f aca="false">IFERROR(LARGE($AH$6:$AK$25,27),0)</f>
        <v>0</v>
      </c>
      <c r="CA28" s="15" t="n">
        <f aca="false">CA27+BZ28</f>
        <v>0</v>
      </c>
      <c r="CB28" s="15" t="n">
        <f aca="false">IFERROR(LARGE($AM$6:$AP$25,27),0)</f>
        <v>0</v>
      </c>
      <c r="CC28" s="15" t="n">
        <f aca="false">CC27+CB28</f>
        <v>0</v>
      </c>
    </row>
    <row r="29" customFormat="false" ht="15" hidden="false" customHeight="false" outlineLevel="0" collapsed="false">
      <c r="B29" s="12" t="s">
        <v>406</v>
      </c>
      <c r="L29" s="8" t="s">
        <v>229</v>
      </c>
      <c r="T29" s="15" t="s">
        <v>227</v>
      </c>
      <c r="U29" s="15" t="n">
        <f aca="false">IF(AND($U$17&gt;=$U$26,$U$18&gt;=0),1,0)</f>
        <v>0</v>
      </c>
      <c r="BZ29" s="15" t="n">
        <f aca="false">IFERROR(LARGE($AH$6:$AK$25,28),0)</f>
        <v>0</v>
      </c>
      <c r="CA29" s="15" t="n">
        <f aca="false">CA28+BZ29</f>
        <v>0</v>
      </c>
      <c r="CB29" s="15" t="n">
        <f aca="false">IFERROR(LARGE($AM$6:$AP$25,28),0)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">
        <v>407</v>
      </c>
      <c r="L30" s="45" t="s">
        <v>232</v>
      </c>
      <c r="T30" s="15" t="s">
        <v>233</v>
      </c>
      <c r="U30" s="15" t="n">
        <f aca="false">$U$28*$U$29</f>
        <v>0</v>
      </c>
      <c r="BZ30" s="15" t="n">
        <f aca="false">IFERROR(LARGE($AH$6:$AK$25,29),0)</f>
        <v>0</v>
      </c>
      <c r="CA30" s="15" t="n">
        <f aca="false">CA29+BZ30</f>
        <v>0</v>
      </c>
      <c r="CB30" s="15" t="n">
        <f aca="false">IFERROR(LARGE($AM$6:$AP$25,29),0)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408</v>
      </c>
      <c r="L31" s="46" t="s">
        <v>235</v>
      </c>
      <c r="T31" s="15" t="s">
        <v>236</v>
      </c>
      <c r="U31" s="15" t="n">
        <f aca="false">IF($U$21&gt;=100,1,0)</f>
        <v>1</v>
      </c>
      <c r="BZ31" s="15" t="n">
        <f aca="false">IFERROR(LARGE($AH$6:$AK$25,30),0)</f>
        <v>0</v>
      </c>
      <c r="CA31" s="15" t="n">
        <f aca="false">CA30+BZ31</f>
        <v>0</v>
      </c>
      <c r="CB31" s="15" t="n">
        <f aca="false">IFERROR(LARGE($AM$6:$AP$25,30),0)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382</v>
      </c>
      <c r="L32" s="47" t="s">
        <v>238</v>
      </c>
      <c r="T32" s="15" t="s">
        <v>239</v>
      </c>
      <c r="U32" s="15" t="n">
        <f aca="false">IF(AND($U$22&gt;=$U$26,$U$23&gt;=0),1,0)</f>
        <v>1</v>
      </c>
      <c r="BZ32" s="15" t="n">
        <f aca="false">IFERROR(LARGE($AH$6:$AK$25,31),0)</f>
        <v>0</v>
      </c>
      <c r="CA32" s="15" t="n">
        <f aca="false">CA31+BZ32</f>
        <v>0</v>
      </c>
      <c r="CB32" s="15" t="n">
        <f aca="false">IFERROR(LARGE($AM$6:$AP$25,31),0)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409</v>
      </c>
      <c r="T33" s="15" t="s">
        <v>243</v>
      </c>
      <c r="U33" s="15" t="n">
        <f aca="false">$U$31*$U$32</f>
        <v>1</v>
      </c>
      <c r="BZ33" s="15" t="n">
        <f aca="false">IFERROR(LARGE($AH$6:$AK$25,32),0)</f>
        <v>0</v>
      </c>
      <c r="CA33" s="15" t="n">
        <f aca="false">CA32+BZ33</f>
        <v>0</v>
      </c>
      <c r="CB33" s="15" t="n">
        <f aca="false">IFERROR(LARGE($AM$6:$AP$25,32),0)</f>
        <v>0</v>
      </c>
      <c r="CC33" s="15" t="n">
        <f aca="false">CC32+CB33</f>
        <v>0</v>
      </c>
    </row>
    <row r="34" customFormat="false" ht="15" hidden="false" customHeight="false" outlineLevel="0" collapsed="false">
      <c r="L34" s="48" t="s">
        <v>242</v>
      </c>
      <c r="T34" s="15" t="s">
        <v>246</v>
      </c>
      <c r="U34" s="15" t="n">
        <f aca="false">INDEX($DG$3:$DG$7,$U$13)+$U$27</f>
        <v>37</v>
      </c>
      <c r="BZ34" s="15" t="n">
        <f aca="false">IFERROR(LARGE($AH$6:$AK$25,33),0)</f>
        <v>0</v>
      </c>
      <c r="CA34" s="15" t="n">
        <f aca="false">CA33+BZ34</f>
        <v>0</v>
      </c>
      <c r="CB34" s="15" t="n">
        <f aca="false">IFERROR(LARGE($AM$6:$AP$25,33),0)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8" t="s">
        <v>410</v>
      </c>
      <c r="L35" s="48" t="s">
        <v>245</v>
      </c>
      <c r="T35" s="15" t="s">
        <v>247</v>
      </c>
      <c r="U35" s="15" t="n">
        <f aca="false">IF($U$34=0,1,0)</f>
        <v>0</v>
      </c>
      <c r="BZ35" s="15" t="n">
        <f aca="false">IFERROR(LARGE($AH$6:$AK$25,34),0)</f>
        <v>0</v>
      </c>
      <c r="CA35" s="15" t="n">
        <f aca="false">CA34+BZ35</f>
        <v>0</v>
      </c>
      <c r="CB35" s="15" t="n">
        <f aca="false">IFERROR(LARGE($AM$6:$AP$25,34),0)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49" t="s">
        <v>411</v>
      </c>
      <c r="T36" s="15" t="s">
        <v>249</v>
      </c>
      <c r="U36" s="15" t="n">
        <f aca="false">IF($U$35=1,INDEX($CQ$3:$CQ$7,$U$13),INDEX($CQ$23:$CQ$27,$U$14))</f>
        <v>280</v>
      </c>
      <c r="BZ36" s="15" t="n">
        <f aca="false">IFERROR(LARGE($AH$6:$AK$25,35),0)</f>
        <v>0</v>
      </c>
      <c r="CA36" s="15" t="n">
        <f aca="false">CA35+BZ36</f>
        <v>0</v>
      </c>
      <c r="CB36" s="15" t="n">
        <f aca="false">IFERROR(LARGE($AM$6:$AP$25,35),0)</f>
        <v>0</v>
      </c>
      <c r="CC36" s="15" t="n">
        <f aca="false">CC35+CB36</f>
        <v>0</v>
      </c>
    </row>
    <row r="37" customFormat="false" ht="15" hidden="false" customHeight="false" outlineLevel="0" collapsed="false">
      <c r="T37" s="15" t="s">
        <v>251</v>
      </c>
      <c r="U37" s="15" t="n">
        <f aca="false">IF($U$35=1,INDEX($CK$3:$CK$7,$U$13),INDEX($CK$23:$CK$27,$U$14))</f>
        <v>32</v>
      </c>
      <c r="BZ37" s="15" t="n">
        <f aca="false">IFERROR(LARGE($AH$6:$AK$25,36),0)</f>
        <v>0</v>
      </c>
      <c r="CA37" s="15" t="n">
        <f aca="false">CA36+BZ37</f>
        <v>0</v>
      </c>
      <c r="CB37" s="15" t="n">
        <f aca="false">IFERROR(LARGE($AM$6:$AP$25,36),0)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0" t="s">
        <v>412</v>
      </c>
      <c r="T38" s="15" t="s">
        <v>252</v>
      </c>
      <c r="U38" s="15" t="n">
        <f aca="false">IF($U$35=1,INDEX($CR$3:$CR$7,$U$13),INDEX($CR$23:$CR$27,$U$14))</f>
        <v>0</v>
      </c>
      <c r="BZ38" s="15" t="n">
        <f aca="false">IFERROR(LARGE($AH$6:$AK$25,37),0)</f>
        <v>0</v>
      </c>
      <c r="CA38" s="15" t="n">
        <f aca="false">CA37+BZ38</f>
        <v>0</v>
      </c>
      <c r="CB38" s="15" t="n">
        <f aca="false">IFERROR(LARGE($AM$6:$AP$25,37),0)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1" t="s">
        <v>250</v>
      </c>
      <c r="T39" s="15" t="s">
        <v>253</v>
      </c>
      <c r="U39" s="15" t="n">
        <f aca="false">IF($U$35=1,INDEX($CS$3:$CS$7,$U$13),INDEX($CS$23:$CS$27,$U$14))</f>
        <v>6</v>
      </c>
      <c r="BZ39" s="15" t="n">
        <f aca="false">IFERROR(LARGE($AH$6:$AK$25,38),0)</f>
        <v>0</v>
      </c>
      <c r="CA39" s="15" t="n">
        <f aca="false">CA38+BZ39</f>
        <v>0</v>
      </c>
      <c r="CB39" s="15" t="n">
        <f aca="false">IFERROR(LARGE($AM$6:$AP$25,38),0)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254</v>
      </c>
      <c r="U40" s="15" t="n">
        <f aca="false">IF($U$35=1,INDEX($CT$3:$CT$7,$U$13),INDEX($CT$23:$CT$27,$U$14))</f>
        <v>0</v>
      </c>
      <c r="BZ40" s="15" t="n">
        <f aca="false">IFERROR(LARGE($AH$6:$AK$25,39),0)</f>
        <v>0</v>
      </c>
      <c r="CA40" s="15" t="n">
        <f aca="false">CA39+BZ40</f>
        <v>0</v>
      </c>
      <c r="CB40" s="15" t="n">
        <f aca="false">IFERROR(LARGE($AM$6:$AP$25,39),0)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255</v>
      </c>
      <c r="U41" s="15" t="n">
        <f aca="false">IF($U$35=1,INDEX($CL$3:$CL$7,$U$13),INDEX($CL$23:$CL$27,$U$14))</f>
        <v>140</v>
      </c>
      <c r="BZ41" s="15" t="n">
        <f aca="false">IFERROR(LARGE($AH$6:$AK$25,40),0)</f>
        <v>0</v>
      </c>
      <c r="CA41" s="15" t="n">
        <f aca="false">CA40+BZ41</f>
        <v>0</v>
      </c>
      <c r="CB41" s="15" t="n">
        <f aca="false">IFERROR(LARGE($AM$6:$AP$25,40),0)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256</v>
      </c>
      <c r="U42" s="15" t="n">
        <f aca="false">IF($U$35=1,INDEX($CU$3:$CU$7,$U$13),INDEX($CU$23:$CU$27,$U$14))</f>
        <v>140</v>
      </c>
      <c r="BZ42" s="15" t="n">
        <f aca="false">IFERROR(LARGE($AH$6:$AK$25,41),0)</f>
        <v>0</v>
      </c>
      <c r="CA42" s="15" t="n">
        <f aca="false">CA41+BZ42</f>
        <v>0</v>
      </c>
      <c r="CB42" s="15" t="n">
        <f aca="false">IFERROR(LARGE($AM$6:$AP$25,41),0)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257</v>
      </c>
      <c r="U43" s="15" t="n">
        <f aca="false">IF($U$35=1,INDEX($CP$3:$CP$7,$U$13),INDEX($CP$23:$CP$27,$U$14))</f>
        <v>40</v>
      </c>
      <c r="BZ43" s="15" t="n">
        <f aca="false">IFERROR(LARGE($AH$6:$AK$25,42),0)</f>
        <v>0</v>
      </c>
      <c r="CA43" s="15" t="n">
        <f aca="false">CA42+BZ43</f>
        <v>0</v>
      </c>
      <c r="CB43" s="15" t="n">
        <f aca="false">IFERROR(LARGE($AM$6:$AP$25,42),0)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258</v>
      </c>
      <c r="U44" s="15" t="n">
        <f aca="false">IF($U$35=1,INDEX($CO$3:$CO$7,$U$13),INDEX($CO$23:$CO$27,$U$14))</f>
        <v>280</v>
      </c>
      <c r="BZ44" s="15" t="n">
        <f aca="false">IFERROR(LARGE($AH$6:$AK$25,43),0)</f>
        <v>0</v>
      </c>
      <c r="CA44" s="15" t="n">
        <f aca="false">CA43+BZ44</f>
        <v>0</v>
      </c>
      <c r="CB44" s="15" t="n">
        <f aca="false">IFERROR(LARGE($AM$6:$AP$25,43),0)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259</v>
      </c>
      <c r="U45" s="15" t="n">
        <f aca="false">IF($U$35=1,INDEX($CH$3:$CH$7,$U$13),INDEX($CH$23:$CH$27,$U$14))</f>
        <v>0</v>
      </c>
      <c r="BZ45" s="15" t="n">
        <f aca="false">IFERROR(LARGE($AH$6:$AK$25,44),0)</f>
        <v>0</v>
      </c>
      <c r="CA45" s="15" t="n">
        <f aca="false">CA44+BZ45</f>
        <v>0</v>
      </c>
      <c r="CB45" s="15" t="n">
        <f aca="false">IFERROR(LARGE($AM$6:$AP$25,44),0)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260</v>
      </c>
      <c r="U46" s="15" t="n">
        <f aca="false">IF($U$35=1,INDEX($DF$3:$DF$7,$U$13),INDEX($DF$23:$DF$27,$U$14))</f>
        <v>1</v>
      </c>
      <c r="BZ46" s="15" t="n">
        <f aca="false">IFERROR(LARGE($AH$6:$AK$25,45),0)</f>
        <v>0</v>
      </c>
      <c r="CA46" s="15" t="n">
        <f aca="false">CA45+BZ46</f>
        <v>0</v>
      </c>
      <c r="CB46" s="15" t="n">
        <f aca="false">IFERROR(LARGE($AM$6:$AP$25,45),0)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261</v>
      </c>
      <c r="U47" s="15" t="n">
        <f aca="false">IF($U$35=1,INDEX($CV$3:$CV$7,$U$13),INDEX($CV$23:$CV$27,$U$14))</f>
        <v>1</v>
      </c>
      <c r="BZ47" s="15" t="n">
        <f aca="false">IFERROR(LARGE($AH$6:$AK$25,46),0)</f>
        <v>0</v>
      </c>
      <c r="CA47" s="15" t="n">
        <f aca="false">CA46+BZ47</f>
        <v>0</v>
      </c>
      <c r="CB47" s="15" t="n">
        <f aca="false">IFERROR(LARGE($AM$6:$AP$25,46),0)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262</v>
      </c>
      <c r="U48" s="15" t="n">
        <f aca="false">IF($U$35=1,INDEX($CW$3:$CW$7,$U$13),INDEX($CW$23:$CW$27,$U$14))</f>
        <v>1</v>
      </c>
      <c r="BZ48" s="15" t="n">
        <f aca="false">IFERROR(LARGE($AH$6:$AK$25,47),0)</f>
        <v>0</v>
      </c>
      <c r="CA48" s="15" t="n">
        <f aca="false">CA47+BZ48</f>
        <v>0</v>
      </c>
      <c r="CB48" s="15" t="n">
        <f aca="false">IFERROR(LARGE($AM$6:$AP$25,47),0)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263</v>
      </c>
      <c r="U49" s="15" t="n">
        <f aca="false">IF($U$35=1,INDEX($CX$3:$CX$7,$U$13),INDEX($CX$23:$CX$27,$U$14))</f>
        <v>1</v>
      </c>
      <c r="BZ49" s="15" t="n">
        <f aca="false">IFERROR(LARGE($AH$6:$AK$25,48),0)</f>
        <v>0</v>
      </c>
      <c r="CA49" s="15" t="n">
        <f aca="false">CA48+BZ49</f>
        <v>0</v>
      </c>
      <c r="CB49" s="15" t="n">
        <f aca="false">IFERROR(LARGE($AM$6:$AP$25,48),0)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264</v>
      </c>
      <c r="U50" s="15" t="n">
        <f aca="false">IF($U$35=1,INDEX($CY$3:$CY$7,$U$13),INDEX($CY$23:$CY$27,$U$14))</f>
        <v>1</v>
      </c>
      <c r="BZ50" s="15" t="n">
        <f aca="false">IFERROR(LARGE($AH$6:$AK$25,49),0)</f>
        <v>0</v>
      </c>
      <c r="CA50" s="15" t="n">
        <f aca="false">CA49+BZ50</f>
        <v>0</v>
      </c>
      <c r="CB50" s="15" t="n">
        <f aca="false">IFERROR(LARGE($AM$6:$AP$25,49),0)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265</v>
      </c>
      <c r="U51" s="15" t="n">
        <f aca="false">IF($U$35=1,INDEX($CZ$3:$CZ$7,$U$13),INDEX($CZ$23:$CZ$27,$U$14))</f>
        <v>1</v>
      </c>
      <c r="BZ51" s="15" t="n">
        <f aca="false">IFERROR(LARGE($AH$6:$AK$25,50),0)</f>
        <v>0</v>
      </c>
      <c r="CA51" s="15" t="n">
        <f aca="false">CA50+BZ51</f>
        <v>0</v>
      </c>
      <c r="CB51" s="15" t="n">
        <f aca="false">IFERROR(LARGE($AM$6:$AP$25,50),0)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266</v>
      </c>
      <c r="U52" s="15" t="n">
        <f aca="false">IF($U$35=1,INDEX($DA$3:$DA$7,$U$13),INDEX($DA$23:$DA$27,$U$14))</f>
        <v>1</v>
      </c>
      <c r="BZ52" s="15" t="n">
        <f aca="false">IFERROR(LARGE($AH$6:$AK$25,51),0)</f>
        <v>0</v>
      </c>
      <c r="CA52" s="15" t="n">
        <f aca="false">CA51+BZ52</f>
        <v>0</v>
      </c>
      <c r="CB52" s="15" t="n">
        <f aca="false">IFERROR(LARGE($AM$6:$AP$25,51),0)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267</v>
      </c>
      <c r="U53" s="15" t="n">
        <f aca="false">IF($U$35=1,INDEX($DB$3:$DB$7,$U$13),INDEX($DB$23:$DB$27,$U$14))</f>
        <v>1</v>
      </c>
      <c r="BZ53" s="15" t="n">
        <f aca="false">IFERROR(LARGE($AH$6:$AK$25,52),0)</f>
        <v>0</v>
      </c>
      <c r="CA53" s="15" t="n">
        <f aca="false">CA52+BZ53</f>
        <v>0</v>
      </c>
      <c r="CB53" s="15" t="n">
        <f aca="false">IFERROR(LARGE($AM$6:$AP$25,52),0)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268</v>
      </c>
      <c r="U54" s="15" t="n">
        <f aca="false">IF($U$35=1,INDEX($DC$3:$DC$7,$U$13),INDEX($DC$23:$DC$27,$U$14))</f>
        <v>1</v>
      </c>
      <c r="BZ54" s="15" t="n">
        <f aca="false">IFERROR(LARGE($AH$6:$AK$25,53),0)</f>
        <v>0</v>
      </c>
      <c r="CA54" s="15" t="n">
        <f aca="false">CA53+BZ54</f>
        <v>0</v>
      </c>
      <c r="CB54" s="15" t="n">
        <f aca="false">IFERROR(LARGE($AM$6:$AP$25,53),0)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269</v>
      </c>
      <c r="U55" s="15" t="n">
        <f aca="false">IF($U$35=1,INDEX($DD$3:$DD$7,$U$13),INDEX($DD$23:$DD$27,$U$14))</f>
        <v>1</v>
      </c>
      <c r="BZ55" s="15" t="n">
        <f aca="false">IFERROR(LARGE($AH$6:$AK$25,54),0)</f>
        <v>0</v>
      </c>
      <c r="CA55" s="15" t="n">
        <f aca="false">CA54+BZ55</f>
        <v>0</v>
      </c>
      <c r="CB55" s="15" t="n">
        <f aca="false">IFERROR(LARGE($AM$6:$AP$25,54),0)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270</v>
      </c>
      <c r="U56" s="15" t="n">
        <f aca="false">IF($U$35=1,INDEX($DE$3:$DE$7,$U$13),INDEX($DE$23:$DE$27,$U$14))</f>
        <v>1</v>
      </c>
      <c r="BZ56" s="15" t="n">
        <f aca="false">IFERROR(LARGE($AH$6:$AK$25,55),0)</f>
        <v>0</v>
      </c>
      <c r="CA56" s="15" t="n">
        <f aca="false">CA55+BZ56</f>
        <v>0</v>
      </c>
      <c r="CB56" s="15" t="n">
        <f aca="false">IFERROR(LARGE($AM$6:$AP$25,55),0)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271</v>
      </c>
      <c r="U57" s="15" t="n">
        <f aca="false">IF($U$35=1,$U$13,$U$14)</f>
        <v>1</v>
      </c>
      <c r="BZ57" s="15" t="n">
        <f aca="false">IFERROR(LARGE($AH$6:$AK$25,56),0)</f>
        <v>0</v>
      </c>
      <c r="CA57" s="15" t="n">
        <f aca="false">CA56+BZ57</f>
        <v>0</v>
      </c>
      <c r="CB57" s="15" t="n">
        <f aca="false">IFERROR(LARGE($AM$6:$AP$25,56),0)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272</v>
      </c>
      <c r="U58" s="15" t="n">
        <f aca="false">IF($U$35=1,$U$9,$V$9)</f>
        <v>0</v>
      </c>
    </row>
    <row r="59" customFormat="false" ht="15" hidden="false" customHeight="false" outlineLevel="0" collapsed="false">
      <c r="T59" s="15" t="s">
        <v>273</v>
      </c>
      <c r="U59" s="15" t="n">
        <f aca="false">IF($U$35=1,$U$16,$U$21)</f>
        <v>140</v>
      </c>
    </row>
    <row r="60" customFormat="false" ht="15" hidden="false" customHeight="false" outlineLevel="0" collapsed="false">
      <c r="T60" s="15" t="s">
        <v>274</v>
      </c>
      <c r="U60" s="15" t="n">
        <f aca="false">IF($U$35=1,$U$17,$U$22)</f>
        <v>5</v>
      </c>
    </row>
    <row r="61" customFormat="false" ht="15" hidden="false" customHeight="false" outlineLevel="0" collapsed="false">
      <c r="T61" s="15" t="s">
        <v>275</v>
      </c>
      <c r="U61" s="15" t="n">
        <f aca="false">IF($U$35=1,$U$28,$U$31)</f>
        <v>1</v>
      </c>
    </row>
    <row r="62" customFormat="false" ht="15" hidden="false" customHeight="false" outlineLevel="0" collapsed="false">
      <c r="T62" s="15" t="s">
        <v>276</v>
      </c>
      <c r="U62" s="15" t="n">
        <f aca="false">IF($U$35=1,$U$29,$U$32)</f>
        <v>1</v>
      </c>
    </row>
    <row r="63" customFormat="false" ht="15" hidden="false" customHeight="false" outlineLevel="0" collapsed="false">
      <c r="T63" s="15" t="s">
        <v>278</v>
      </c>
      <c r="U63" s="15" t="n">
        <f aca="false">IF($U$35=1,$U$30,$U$33)</f>
        <v>1</v>
      </c>
    </row>
    <row r="64" customFormat="false" ht="15" hidden="false" customHeight="false" outlineLevel="0" collapsed="false">
      <c r="T64" s="15" t="s">
        <v>188</v>
      </c>
      <c r="U64" s="15" t="n">
        <f aca="false">$U$36+$U$59</f>
        <v>420</v>
      </c>
    </row>
    <row r="65" customFormat="false" ht="15" hidden="false" customHeight="false" outlineLevel="0" collapsed="false">
      <c r="T65" s="15" t="s">
        <v>279</v>
      </c>
      <c r="U65" s="15" t="n">
        <f aca="false">IF($U$64&gt;=300,1,0)</f>
        <v>1</v>
      </c>
    </row>
    <row r="66" customFormat="false" ht="15" hidden="false" customHeight="false" outlineLevel="0" collapsed="false">
      <c r="T66" s="15" t="s">
        <v>280</v>
      </c>
      <c r="U66" s="15" t="n">
        <f aca="false">IF($U$46*$U$63*$U$65=1,1,0)</f>
        <v>1</v>
      </c>
    </row>
    <row r="67" customFormat="false" ht="15" hidden="false" customHeight="false" outlineLevel="0" collapsed="false">
      <c r="T67" s="15" t="s">
        <v>281</v>
      </c>
      <c r="U67" s="15" t="n">
        <f aca="false">IF($U$64&lt;300,"",MAX(10,MIN(40,INT((1020-$U$64)/18))))</f>
        <v>33</v>
      </c>
    </row>
    <row r="68" customFormat="false" ht="15" hidden="false" customHeight="false" outlineLevel="0" collapsed="false">
      <c r="T68" s="15" t="s">
        <v>282</v>
      </c>
      <c r="U68" s="15" t="n">
        <f aca="false">IF($U$67="",MAX(0,300-$U$64),IF($U$67&gt;10,1021-18*$U$67-$U$64,""))</f>
        <v>7</v>
      </c>
    </row>
    <row r="69" customFormat="false" ht="15" hidden="false" customHeight="false" outlineLevel="0" collapsed="false">
      <c r="T69" s="15" t="s">
        <v>283</v>
      </c>
      <c r="U69" s="15" t="n">
        <f aca="false">IF($U$67="","",$U$64-IF($U$67&gt;=40,300,1020-18*($U$67+1)+1))</f>
        <v>11</v>
      </c>
    </row>
  </sheetData>
  <sheetProtection sheet="true" formatCells="false" formatColumns="false" formatRows="false"/>
  <mergeCells count="1">
    <mergeCell ref="M6:N6"/>
  </mergeCells>
  <conditionalFormatting sqref="E6:H25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10">
    <cfRule type="expression" priority="5" aboveAverage="0" equalAverage="0" bottom="0" percent="0" rank="0" text="" dxfId="3">
      <formula>AND(ISNUMBER(I6),I6&lt;5)</formula>
    </cfRule>
  </conditionalFormatting>
  <conditionalFormatting sqref="M19:M26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2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9 E10:I10 E12:H25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2:D25" type="list">
      <formula1>"x"</formula1>
      <formula2>0</formula2>
    </dataValidation>
  </dataValidations>
  <hyperlinks>
    <hyperlink ref="B36" r:id="rId2" display="https://www.mk.niedersachsen.de/download/110382/AVO-GOBAK_und_EB-AVO-GOBAK_Maerz_2025.pdf"/>
    <hyperlink ref="B38" r:id="rId3" display="Online-Rechner Niedersachsen mit Statistik und PDF-Download: https://www.abi-rechner.com/bundeslander/niedersachsen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Niedersachsen · abi-rechner.com · Stand September 2026</oddFooter>
  </headerFooter>
  <legacy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413</v>
      </c>
      <c r="T1" s="15" t="s">
        <v>72</v>
      </c>
      <c r="BZ1" s="15" t="s">
        <v>73</v>
      </c>
      <c r="CA1" s="15" t="s">
        <v>74</v>
      </c>
      <c r="CB1" s="15" t="s">
        <v>75</v>
      </c>
      <c r="CC1" s="15" t="s">
        <v>76</v>
      </c>
    </row>
    <row r="2" customFormat="false" ht="15" hidden="false" customHeight="false" outlineLevel="0" collapsed="false">
      <c r="B2" s="2" t="s">
        <v>414</v>
      </c>
      <c r="T2" s="15" t="s">
        <v>78</v>
      </c>
      <c r="U2" s="15" t="n">
        <f aca="false">IFERROR(AVERAGE($E$6:$H$24),7)</f>
        <v>7</v>
      </c>
      <c r="BZ2" s="15" t="n">
        <f aca="false">IFERROR(LARGE($AH$6:$AK$24,1),0)</f>
        <v>0</v>
      </c>
      <c r="CA2" s="15" t="n">
        <f aca="false">BZ2</f>
        <v>0</v>
      </c>
      <c r="CB2" s="15" t="n">
        <f aca="false">IFERROR(LARGE($AM$6:$AP$24,1),0)</f>
        <v>0</v>
      </c>
      <c r="CC2" s="15" t="n">
        <f aca="false">CB2</f>
        <v>0</v>
      </c>
      <c r="CE2" s="15" t="s">
        <v>79</v>
      </c>
      <c r="CF2" s="15" t="s">
        <v>80</v>
      </c>
      <c r="CG2" s="15" t="s">
        <v>81</v>
      </c>
      <c r="CH2" s="15" t="s">
        <v>82</v>
      </c>
      <c r="CI2" s="15" t="s">
        <v>83</v>
      </c>
      <c r="CJ2" s="15" t="s">
        <v>84</v>
      </c>
      <c r="CK2" s="15" t="s">
        <v>85</v>
      </c>
      <c r="CL2" s="15" t="s">
        <v>86</v>
      </c>
      <c r="CM2" s="15" t="s">
        <v>87</v>
      </c>
      <c r="CN2" s="15" t="s">
        <v>88</v>
      </c>
      <c r="CO2" s="15" t="s">
        <v>89</v>
      </c>
      <c r="CP2" s="15" t="s">
        <v>90</v>
      </c>
      <c r="CQ2" s="15" t="s">
        <v>91</v>
      </c>
      <c r="CR2" s="15" t="s">
        <v>92</v>
      </c>
      <c r="CS2" s="15" t="s">
        <v>93</v>
      </c>
      <c r="CT2" s="15" t="s">
        <v>94</v>
      </c>
      <c r="CU2" s="15" t="s">
        <v>95</v>
      </c>
      <c r="CV2" s="15" t="s">
        <v>96</v>
      </c>
      <c r="CW2" s="15" t="s">
        <v>97</v>
      </c>
      <c r="CX2" s="15" t="s">
        <v>98</v>
      </c>
      <c r="CY2" s="15" t="s">
        <v>99</v>
      </c>
      <c r="CZ2" s="15" t="s">
        <v>100</v>
      </c>
      <c r="DA2" s="15" t="s">
        <v>101</v>
      </c>
      <c r="DB2" s="15" t="s">
        <v>102</v>
      </c>
      <c r="DC2" s="15" t="s">
        <v>103</v>
      </c>
      <c r="DD2" s="15" t="s">
        <v>104</v>
      </c>
      <c r="DE2" s="15" t="s">
        <v>105</v>
      </c>
      <c r="DF2" s="15" t="s">
        <v>106</v>
      </c>
      <c r="DG2" s="15" t="s">
        <v>107</v>
      </c>
      <c r="DH2" s="15" t="s">
        <v>108</v>
      </c>
    </row>
    <row r="3" customFormat="false" ht="15" hidden="false" customHeight="false" outlineLevel="0" collapsed="false">
      <c r="B3" s="16" t="s">
        <v>109</v>
      </c>
      <c r="T3" s="15" t="s">
        <v>110</v>
      </c>
      <c r="U3" s="15" t="n">
        <f aca="false">IFERROR(AVERAGE($I$6:$I$9),$U$2)</f>
        <v>7</v>
      </c>
      <c r="BZ3" s="15" t="n">
        <f aca="false">IFERROR(LARGE($AH$6:$AK$24,2),0)</f>
        <v>0</v>
      </c>
      <c r="CA3" s="15" t="n">
        <f aca="false">CA2+BZ3</f>
        <v>0</v>
      </c>
      <c r="CB3" s="15" t="n">
        <f aca="false">IFERROR(LARGE($AM$6:$AP$24,2),0)</f>
        <v>0</v>
      </c>
      <c r="CC3" s="15" t="n">
        <f aca="false">CC2+CB3</f>
        <v>0</v>
      </c>
      <c r="CE3" s="15" t="n">
        <f aca="false">35</f>
        <v>35</v>
      </c>
      <c r="CF3" s="15" t="n">
        <f aca="false">CE3-$U$5-$U$6-0</f>
        <v>19</v>
      </c>
      <c r="CG3" s="15" t="n">
        <f aca="false">MAX(0,CF3)</f>
        <v>19</v>
      </c>
      <c r="CH3" s="15" t="n">
        <f aca="false">MIN(CG3,$U$7)</f>
        <v>0</v>
      </c>
      <c r="CI3" s="15" t="n">
        <f aca="false">CG3-CH3</f>
        <v>19</v>
      </c>
      <c r="CJ3" s="15" t="n">
        <f aca="false">0</f>
        <v>0</v>
      </c>
      <c r="CK3" s="15" t="n">
        <f aca="false">$U$5+CH3+CJ3</f>
        <v>0</v>
      </c>
      <c r="CL3" s="15" t="n">
        <f aca="false">2*AW6+2*AX6+2*AW7+2*AX7</f>
        <v>0</v>
      </c>
      <c r="CM3" s="15" t="n">
        <f aca="false">2*AY6+2*AZ6+2*AY7+2*AZ7+1*AY8+1*AZ8+1*AY9+1*AZ9+SUM($AA$11:$AA$24)</f>
        <v>0</v>
      </c>
      <c r="CN3" s="15" t="n">
        <f aca="false">IF(CH3=0,0,INDEX($CA$2:$CA$57,CH3))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IF(CP3&gt;0,MIN(600,INT((CO3/CP3*40)+0.5+0.000000001)),0)</f>
        <v>0</v>
      </c>
      <c r="CR3" s="15" t="n">
        <f aca="false">$U$9+CT3</f>
        <v>0</v>
      </c>
      <c r="CS3" s="15" t="n">
        <f aca="false">IF(CK3&lt;35,7,IF(CK3&gt;40,8,CHOOSE(CK3-34,7,7,7,8,8,8)))</f>
        <v>7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IF($U$9&lt;=3,1,0)</f>
        <v>1</v>
      </c>
      <c r="CY3" s="15" t="n">
        <f aca="false">1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35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111</v>
      </c>
      <c r="U4" s="15" t="n">
        <f aca="false">IF(COUNT($E$6:$H$24,$I$6:$I$9)&gt;0,1,0)</f>
        <v>0</v>
      </c>
      <c r="BZ4" s="15" t="n">
        <f aca="false">IFERROR(LARGE($AH$6:$AK$24,3),0)</f>
        <v>0</v>
      </c>
      <c r="CA4" s="15" t="n">
        <f aca="false">CA3+BZ4</f>
        <v>0</v>
      </c>
      <c r="CB4" s="15" t="n">
        <f aca="false">IFERROR(LARGE($AM$6:$AP$24,3),0)</f>
        <v>0</v>
      </c>
      <c r="CC4" s="15" t="n">
        <f aca="false">CC3+CB4</f>
        <v>0</v>
      </c>
      <c r="CE4" s="15" t="n">
        <f aca="false">36</f>
        <v>36</v>
      </c>
      <c r="CF4" s="15" t="n">
        <f aca="false">CE4-$U$5-$U$6-0</f>
        <v>20</v>
      </c>
      <c r="CG4" s="15" t="n">
        <f aca="false">MAX(0,CF4)</f>
        <v>20</v>
      </c>
      <c r="CH4" s="15" t="n">
        <f aca="false">MIN(CG4,$U$7)</f>
        <v>0</v>
      </c>
      <c r="CI4" s="15" t="n">
        <f aca="false">CG4-CH4</f>
        <v>20</v>
      </c>
      <c r="CJ4" s="15" t="n">
        <f aca="false">0</f>
        <v>0</v>
      </c>
      <c r="CK4" s="15" t="n">
        <f aca="false">$U$5+CH4+CJ4</f>
        <v>0</v>
      </c>
      <c r="CL4" s="15" t="n">
        <f aca="false">2*AW6+2*AX6+2*AW7+2*AX7</f>
        <v>0</v>
      </c>
      <c r="CM4" s="15" t="n">
        <f aca="false">2*AY6+2*AZ6+2*AY7+2*AZ7+1*AY8+1*AZ8+1*AY9+1*AZ9+SUM($AA$11:$AA$24)</f>
        <v>0</v>
      </c>
      <c r="CN4" s="15" t="n">
        <f aca="false">IF(CH4=0,0,INDEX($CA$2:$CA$57,CH4))</f>
        <v>0</v>
      </c>
      <c r="CO4" s="15" t="n">
        <f aca="false">CL4+$U$11+CN4+CJ4*$U$2</f>
        <v>0</v>
      </c>
      <c r="CP4" s="15" t="n">
        <f aca="false">CM4+CH4+CJ4</f>
        <v>0</v>
      </c>
      <c r="CQ4" s="15" t="n">
        <f aca="false">IF(CP4&gt;0,MIN(600,INT((CO4/CP4*40)+0.5+0.000000001)),0)</f>
        <v>0</v>
      </c>
      <c r="CR4" s="15" t="n">
        <f aca="false">$U$9+CT4</f>
        <v>0</v>
      </c>
      <c r="CS4" s="15" t="n">
        <f aca="false">IF(CK4&lt;35,7,IF(CK4&gt;40,8,CHOOSE(CK4-34,7,7,7,8,8,8)))</f>
        <v>7</v>
      </c>
      <c r="CT4" s="15" t="n">
        <f aca="false">$U$10+MAX(0,CH4-$U$8)+CJ4*IF($U$2&lt;5,1,0)</f>
        <v>0</v>
      </c>
      <c r="CU4" s="15" t="n">
        <f aca="false">$U$11+CN4+CJ4*$U$2</f>
        <v>0</v>
      </c>
      <c r="CV4" s="15" t="n">
        <f aca="false">IF(CQ4&gt;=200,1,0)</f>
        <v>0</v>
      </c>
      <c r="CW4" s="15" t="n">
        <f aca="false">IF(CR4&lt;=CS4,1,0)</f>
        <v>1</v>
      </c>
      <c r="CX4" s="15" t="n">
        <f aca="false">IF($U$9&lt;=3,1,0)</f>
        <v>1</v>
      </c>
      <c r="CY4" s="15" t="n">
        <f aca="false">1</f>
        <v>1</v>
      </c>
      <c r="CZ4" s="15" t="n">
        <f aca="false">1</f>
        <v>1</v>
      </c>
      <c r="DA4" s="15" t="n">
        <f aca="false">1</f>
        <v>1</v>
      </c>
      <c r="DB4" s="15" t="n">
        <f aca="false">IF($U$12=0,1,0)</f>
        <v>1</v>
      </c>
      <c r="DC4" s="15" t="n">
        <f aca="false">1</f>
        <v>1</v>
      </c>
      <c r="DD4" s="15" t="n">
        <f aca="false">1</f>
        <v>1</v>
      </c>
      <c r="DE4" s="15" t="n">
        <f aca="false">IF(CF4&lt;0,0,1)</f>
        <v>1</v>
      </c>
      <c r="DF4" s="15" t="n">
        <f aca="false">IF(CV4*CW4*CX4*CY4*CZ4*DA4*DB4*DC4*DD4*DE4=1,1,0)</f>
        <v>0</v>
      </c>
      <c r="DG4" s="15" t="n">
        <f aca="false">$U$6+CI4</f>
        <v>36</v>
      </c>
      <c r="DH4" s="15" t="n">
        <f aca="false">DF4*1000000+CQ4*100+(100-CK4)</f>
        <v>100</v>
      </c>
    </row>
    <row r="5" customFormat="false" ht="30" hidden="false" customHeight="true" outlineLevel="0" collapsed="false">
      <c r="B5" s="17" t="s">
        <v>9</v>
      </c>
      <c r="C5" s="17" t="s">
        <v>112</v>
      </c>
      <c r="D5" s="18"/>
      <c r="E5" s="18" t="s">
        <v>113</v>
      </c>
      <c r="F5" s="18" t="s">
        <v>114</v>
      </c>
      <c r="G5" s="18" t="s">
        <v>115</v>
      </c>
      <c r="H5" s="18" t="s">
        <v>116</v>
      </c>
      <c r="I5" s="18" t="s">
        <v>11</v>
      </c>
      <c r="J5" s="18" t="s">
        <v>117</v>
      </c>
      <c r="L5" s="19" t="s">
        <v>118</v>
      </c>
      <c r="M5" s="20"/>
      <c r="N5" s="20"/>
      <c r="T5" s="15" t="s">
        <v>119</v>
      </c>
      <c r="U5" s="15" t="n">
        <f aca="false">AY6+AY7+AY8+AY9+AZ6+AZ7+AZ8+AZ9+SUM($AA$11:$AA$24)</f>
        <v>0</v>
      </c>
      <c r="V5" s="15" t="n">
        <f aca="false">BG6+BG7+BG8+BG9+BH6+BH7+BH8+BH9+SUM($AE$11:$AE$24)</f>
        <v>16</v>
      </c>
      <c r="AH5" s="15" t="s">
        <v>120</v>
      </c>
      <c r="AM5" s="15" t="s">
        <v>121</v>
      </c>
      <c r="AR5" s="15" t="s">
        <v>122</v>
      </c>
      <c r="AW5" s="15" t="s">
        <v>123</v>
      </c>
      <c r="AX5" s="15" t="s">
        <v>124</v>
      </c>
      <c r="AY5" s="15" t="s">
        <v>125</v>
      </c>
      <c r="AZ5" s="15" t="s">
        <v>126</v>
      </c>
      <c r="BA5" s="15" t="s">
        <v>127</v>
      </c>
      <c r="BB5" s="15" t="s">
        <v>128</v>
      </c>
      <c r="BC5" s="15" t="s">
        <v>129</v>
      </c>
      <c r="BD5" s="15" t="s">
        <v>130</v>
      </c>
      <c r="BE5" s="15" t="s">
        <v>131</v>
      </c>
      <c r="BF5" s="15" t="s">
        <v>132</v>
      </c>
      <c r="BG5" s="15" t="s">
        <v>133</v>
      </c>
      <c r="BH5" s="15" t="s">
        <v>134</v>
      </c>
      <c r="BI5" s="15" t="s">
        <v>135</v>
      </c>
      <c r="BJ5" s="15" t="s">
        <v>136</v>
      </c>
      <c r="BK5" s="15" t="s">
        <v>137</v>
      </c>
      <c r="BL5" s="15" t="s">
        <v>138</v>
      </c>
      <c r="BN5" s="15" t="s">
        <v>139</v>
      </c>
      <c r="BO5" s="15" t="s">
        <v>140</v>
      </c>
      <c r="BP5" s="15" t="s">
        <v>141</v>
      </c>
      <c r="BQ5" s="15" t="s">
        <v>128</v>
      </c>
      <c r="BR5" s="15" t="s">
        <v>142</v>
      </c>
      <c r="BT5" s="15" t="s">
        <v>143</v>
      </c>
      <c r="BU5" s="15" t="s">
        <v>144</v>
      </c>
      <c r="BV5" s="15" t="s">
        <v>145</v>
      </c>
      <c r="BW5" s="15" t="s">
        <v>136</v>
      </c>
      <c r="BX5" s="15" t="s">
        <v>146</v>
      </c>
      <c r="BZ5" s="15" t="n">
        <f aca="false">IFERROR(LARGE($AH$6:$AK$24,4),0)</f>
        <v>0</v>
      </c>
      <c r="CA5" s="15" t="n">
        <f aca="false">CA4+BZ5</f>
        <v>0</v>
      </c>
      <c r="CB5" s="15" t="n">
        <f aca="false">IFERROR(LARGE($AM$6:$AP$24,4),0)</f>
        <v>0</v>
      </c>
      <c r="CC5" s="15" t="n">
        <f aca="false">CC4+CB5</f>
        <v>0</v>
      </c>
      <c r="CE5" s="15" t="n">
        <f aca="false">37</f>
        <v>37</v>
      </c>
      <c r="CF5" s="15" t="n">
        <f aca="false">CE5-$U$5-$U$6-0</f>
        <v>21</v>
      </c>
      <c r="CG5" s="15" t="n">
        <f aca="false">MAX(0,CF5)</f>
        <v>21</v>
      </c>
      <c r="CH5" s="15" t="n">
        <f aca="false">MIN(CG5,$U$7)</f>
        <v>0</v>
      </c>
      <c r="CI5" s="15" t="n">
        <f aca="false">CG5-CH5</f>
        <v>21</v>
      </c>
      <c r="CJ5" s="15" t="n">
        <f aca="false">0</f>
        <v>0</v>
      </c>
      <c r="CK5" s="15" t="n">
        <f aca="false">$U$5+CH5+CJ5</f>
        <v>0</v>
      </c>
      <c r="CL5" s="15" t="n">
        <f aca="false">2*AW6+2*AX6+2*AW7+2*AX7</f>
        <v>0</v>
      </c>
      <c r="CM5" s="15" t="n">
        <f aca="false">2*AY6+2*AZ6+2*AY7+2*AZ7+1*AY8+1*AZ8+1*AY9+1*AZ9+SUM($AA$11:$AA$24)</f>
        <v>0</v>
      </c>
      <c r="CN5" s="15" t="n">
        <f aca="false">IF(CH5=0,0,INDEX($CA$2:$CA$57,CH5))</f>
        <v>0</v>
      </c>
      <c r="CO5" s="15" t="n">
        <f aca="false">CL5+$U$11+CN5+CJ5*$U$2</f>
        <v>0</v>
      </c>
      <c r="CP5" s="15" t="n">
        <f aca="false">CM5+CH5+CJ5</f>
        <v>0</v>
      </c>
      <c r="CQ5" s="15" t="n">
        <f aca="false">IF(CP5&gt;0,MIN(600,INT((CO5/CP5*40)+0.5+0.000000001)),0)</f>
        <v>0</v>
      </c>
      <c r="CR5" s="15" t="n">
        <f aca="false">$U$9+CT5</f>
        <v>0</v>
      </c>
      <c r="CS5" s="15" t="n">
        <f aca="false">IF(CK5&lt;35,7,IF(CK5&gt;40,8,CHOOSE(CK5-34,7,7,7,8,8,8)))</f>
        <v>7</v>
      </c>
      <c r="CT5" s="15" t="n">
        <f aca="false">$U$10+MAX(0,CH5-$U$8)+CJ5*IF($U$2&lt;5,1,0)</f>
        <v>0</v>
      </c>
      <c r="CU5" s="15" t="n">
        <f aca="false">$U$11+CN5+CJ5*$U$2</f>
        <v>0</v>
      </c>
      <c r="CV5" s="15" t="n">
        <f aca="false">IF(CQ5&gt;=200,1,0)</f>
        <v>0</v>
      </c>
      <c r="CW5" s="15" t="n">
        <f aca="false">IF(CR5&lt;=CS5,1,0)</f>
        <v>1</v>
      </c>
      <c r="CX5" s="15" t="n">
        <f aca="false">IF($U$9&lt;=3,1,0)</f>
        <v>1</v>
      </c>
      <c r="CY5" s="15" t="n">
        <f aca="false">1</f>
        <v>1</v>
      </c>
      <c r="CZ5" s="15" t="n">
        <f aca="false">1</f>
        <v>1</v>
      </c>
      <c r="DA5" s="15" t="n">
        <f aca="false">1</f>
        <v>1</v>
      </c>
      <c r="DB5" s="15" t="n">
        <f aca="false">IF($U$12=0,1,0)</f>
        <v>1</v>
      </c>
      <c r="DC5" s="15" t="n">
        <f aca="false">1</f>
        <v>1</v>
      </c>
      <c r="DD5" s="15" t="n">
        <f aca="false">1</f>
        <v>1</v>
      </c>
      <c r="DE5" s="15" t="n">
        <f aca="false">IF(CF5&lt;0,0,1)</f>
        <v>1</v>
      </c>
      <c r="DF5" s="15" t="n">
        <f aca="false">IF(CV5*CW5*CX5*CY5*CZ5*DA5*DB5*DC5*DD5*DE5=1,1,0)</f>
        <v>0</v>
      </c>
      <c r="DG5" s="15" t="n">
        <f aca="false">$U$6+CI5</f>
        <v>37</v>
      </c>
      <c r="DH5" s="15" t="n">
        <f aca="false">DF5*1000000+CQ5*100+(100-CK5)</f>
        <v>100</v>
      </c>
    </row>
    <row r="6" customFormat="false" ht="39.75" hidden="false" customHeight="true" outlineLevel="0" collapsed="false">
      <c r="B6" s="21" t="s">
        <v>315</v>
      </c>
      <c r="C6" s="22"/>
      <c r="D6" s="23" t="s">
        <v>148</v>
      </c>
      <c r="E6" s="24"/>
      <c r="F6" s="24"/>
      <c r="G6" s="24"/>
      <c r="H6" s="24"/>
      <c r="I6" s="25"/>
      <c r="J6" s="24"/>
      <c r="L6" s="26" t="s">
        <v>149</v>
      </c>
      <c r="M6" s="27" t="str">
        <f aca="false">IF($U$4=0,"Noch keine Eingaben – trag deine Punkte in die gelben Felder ein.",IF($U$36=1,"Endergebnis (alle Felder ausgefüllt)","Prognose: "&amp;$U$35&amp;" Felder offen, gefüllt mit deinem Schnitt von "&amp;FIXED($U$2,1)&amp;" Punkten"))</f>
        <v>Noch keine Eingaben – trag deine Punkte in die gelben Felder ein.</v>
      </c>
      <c r="N6" s="27"/>
      <c r="T6" s="15" t="s">
        <v>150</v>
      </c>
      <c r="U6" s="15" t="n">
        <f aca="false">BC6+BC7+BC8+BC9</f>
        <v>16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IF(BN6="","",IF(ISNUMBER($J$6),INT(((2*BN6+$J$6)/3*$U$16)+0.5+0.000000001),BN6*$U$16))</f>
        <v/>
      </c>
      <c r="BP6" s="15" t="n">
        <f aca="false">IF(BO6="",0,IF(BO6&gt;=5*$U$16-0.000000001,1,0))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IF(BT6="","",IF(ISNUMBER($J$6),INT(((2*BT6+$J$6)/3*$U$16)+0.5+0.000000001),BT6*$U$16))</f>
        <v>35</v>
      </c>
      <c r="BV6" s="15" t="n">
        <f aca="false">IF(BU6="",0,IF(BU6&gt;=5*$U$16-0.000000001,1,0))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IFERROR(LARGE($AH$6:$AK$24,5),0)</f>
        <v>0</v>
      </c>
      <c r="CA6" s="15" t="n">
        <f aca="false">CA5+BZ6</f>
        <v>0</v>
      </c>
      <c r="CB6" s="15" t="n">
        <f aca="false">IFERROR(LARGE($AM$6:$AP$24,5),0)</f>
        <v>0</v>
      </c>
      <c r="CC6" s="15" t="n">
        <f aca="false">CC5+CB6</f>
        <v>0</v>
      </c>
      <c r="CE6" s="15" t="n">
        <f aca="false">38</f>
        <v>38</v>
      </c>
      <c r="CF6" s="15" t="n">
        <f aca="false">CE6-$U$5-$U$6-0</f>
        <v>22</v>
      </c>
      <c r="CG6" s="15" t="n">
        <f aca="false">MAX(0,CF6)</f>
        <v>22</v>
      </c>
      <c r="CH6" s="15" t="n">
        <f aca="false">MIN(CG6,$U$7)</f>
        <v>0</v>
      </c>
      <c r="CI6" s="15" t="n">
        <f aca="false">CG6-CH6</f>
        <v>22</v>
      </c>
      <c r="CJ6" s="15" t="n">
        <f aca="false">0</f>
        <v>0</v>
      </c>
      <c r="CK6" s="15" t="n">
        <f aca="false">$U$5+CH6+CJ6</f>
        <v>0</v>
      </c>
      <c r="CL6" s="15" t="n">
        <f aca="false">2*AW6+2*AX6+2*AW7+2*AX7</f>
        <v>0</v>
      </c>
      <c r="CM6" s="15" t="n">
        <f aca="false">2*AY6+2*AZ6+2*AY7+2*AZ7+1*AY8+1*AZ8+1*AY9+1*AZ9+SUM($AA$11:$AA$24)</f>
        <v>0</v>
      </c>
      <c r="CN6" s="15" t="n">
        <f aca="false">IF(CH6=0,0,INDEX($CA$2:$CA$57,CH6))</f>
        <v>0</v>
      </c>
      <c r="CO6" s="15" t="n">
        <f aca="false">CL6+$U$11+CN6+CJ6*$U$2</f>
        <v>0</v>
      </c>
      <c r="CP6" s="15" t="n">
        <f aca="false">CM6+CH6+CJ6</f>
        <v>0</v>
      </c>
      <c r="CQ6" s="15" t="n">
        <f aca="false">IF(CP6&gt;0,MIN(600,INT((CO6/CP6*40)+0.5+0.000000001)),0)</f>
        <v>0</v>
      </c>
      <c r="CR6" s="15" t="n">
        <f aca="false">$U$9+CT6</f>
        <v>0</v>
      </c>
      <c r="CS6" s="15" t="n">
        <f aca="false">IF(CK6&lt;35,7,IF(CK6&gt;40,8,CHOOSE(CK6-34,7,7,7,8,8,8)))</f>
        <v>7</v>
      </c>
      <c r="CT6" s="15" t="n">
        <f aca="false">$U$10+MAX(0,CH6-$U$8)+CJ6*IF($U$2&lt;5,1,0)</f>
        <v>0</v>
      </c>
      <c r="CU6" s="15" t="n">
        <f aca="false">$U$11+CN6+CJ6*$U$2</f>
        <v>0</v>
      </c>
      <c r="CV6" s="15" t="n">
        <f aca="false">IF(CQ6&gt;=200,1,0)</f>
        <v>0</v>
      </c>
      <c r="CW6" s="15" t="n">
        <f aca="false">IF(CR6&lt;=CS6,1,0)</f>
        <v>1</v>
      </c>
      <c r="CX6" s="15" t="n">
        <f aca="false">IF($U$9&lt;=3,1,0)</f>
        <v>1</v>
      </c>
      <c r="CY6" s="15" t="n">
        <f aca="false">1</f>
        <v>1</v>
      </c>
      <c r="CZ6" s="15" t="n">
        <f aca="false">1</f>
        <v>1</v>
      </c>
      <c r="DA6" s="15" t="n">
        <f aca="false">1</f>
        <v>1</v>
      </c>
      <c r="DB6" s="15" t="n">
        <f aca="false">IF($U$12=0,1,0)</f>
        <v>1</v>
      </c>
      <c r="DC6" s="15" t="n">
        <f aca="false">1</f>
        <v>1</v>
      </c>
      <c r="DD6" s="15" t="n">
        <f aca="false">1</f>
        <v>1</v>
      </c>
      <c r="DE6" s="15" t="n">
        <f aca="false">IF(CF6&lt;0,0,1)</f>
        <v>1</v>
      </c>
      <c r="DF6" s="15" t="n">
        <f aca="false">IF(CV6*CW6*CX6*CY6*CZ6*DA6*DB6*DC6*DD6*DE6=1,1,0)</f>
        <v>0</v>
      </c>
      <c r="DG6" s="15" t="n">
        <f aca="false">$U$6+CI6</f>
        <v>38</v>
      </c>
      <c r="DH6" s="15" t="n">
        <f aca="false">DF6*1000000+CQ6*100+(100-CK6)</f>
        <v>100</v>
      </c>
    </row>
    <row r="7" customFormat="false" ht="37.5" hidden="false" customHeight="true" outlineLevel="0" collapsed="false">
      <c r="B7" s="21" t="s">
        <v>316</v>
      </c>
      <c r="C7" s="22"/>
      <c r="D7" s="23" t="s">
        <v>148</v>
      </c>
      <c r="E7" s="24"/>
      <c r="F7" s="24"/>
      <c r="G7" s="24"/>
      <c r="H7" s="24"/>
      <c r="I7" s="25"/>
      <c r="J7" s="24"/>
      <c r="L7" s="26" t="s">
        <v>152</v>
      </c>
      <c r="M7" s="28" t="str">
        <f aca="false">IF($U$4=0,"",$U$37)</f>
        <v/>
      </c>
      <c r="N7" s="29" t="s">
        <v>153</v>
      </c>
      <c r="T7" s="15" t="s">
        <v>154</v>
      </c>
      <c r="U7" s="15" t="n">
        <f aca="false">COUNT($AH$6:$AK$24)</f>
        <v>0</v>
      </c>
      <c r="V7" s="15" t="n">
        <f aca="false">COUNT($AM$6:$AP$24)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IF(BN7="","",IF(ISNUMBER($J$7),INT(((2*BN7+$J$7)/3*$U$16)+0.5+0.000000001),BN7*$U$16))</f>
        <v/>
      </c>
      <c r="BP7" s="15" t="n">
        <f aca="false">IF(BO7="",0,IF(BO7&gt;=5*$U$16-0.000000001,1,0))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IF(BT7="","",IF(ISNUMBER($J$7),INT(((2*BT7+$J$7)/3*$U$16)+0.5+0.000000001),BT7*$U$16))</f>
        <v>35</v>
      </c>
      <c r="BV7" s="15" t="n">
        <f aca="false">IF(BU7="",0,IF(BU7&gt;=5*$U$16-0.000000001,1,0))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IFERROR(LARGE($AH$6:$AK$24,6),0)</f>
        <v>0</v>
      </c>
      <c r="CA7" s="15" t="n">
        <f aca="false">CA6+BZ7</f>
        <v>0</v>
      </c>
      <c r="CB7" s="15" t="n">
        <f aca="false">IFERROR(LARGE($AM$6:$AP$24,6),0)</f>
        <v>0</v>
      </c>
      <c r="CC7" s="15" t="n">
        <f aca="false">CC6+CB7</f>
        <v>0</v>
      </c>
      <c r="CE7" s="15" t="n">
        <f aca="false">39</f>
        <v>39</v>
      </c>
      <c r="CF7" s="15" t="n">
        <f aca="false">CE7-$U$5-$U$6-0</f>
        <v>23</v>
      </c>
      <c r="CG7" s="15" t="n">
        <f aca="false">MAX(0,CF7)</f>
        <v>23</v>
      </c>
      <c r="CH7" s="15" t="n">
        <f aca="false">MIN(CG7,$U$7)</f>
        <v>0</v>
      </c>
      <c r="CI7" s="15" t="n">
        <f aca="false">CG7-CH7</f>
        <v>23</v>
      </c>
      <c r="CJ7" s="15" t="n">
        <f aca="false">0</f>
        <v>0</v>
      </c>
      <c r="CK7" s="15" t="n">
        <f aca="false">$U$5+CH7+CJ7</f>
        <v>0</v>
      </c>
      <c r="CL7" s="15" t="n">
        <f aca="false">2*AW6+2*AX6+2*AW7+2*AX7</f>
        <v>0</v>
      </c>
      <c r="CM7" s="15" t="n">
        <f aca="false">2*AY6+2*AZ6+2*AY7+2*AZ7+1*AY8+1*AZ8+1*AY9+1*AZ9+SUM($AA$11:$AA$24)</f>
        <v>0</v>
      </c>
      <c r="CN7" s="15" t="n">
        <f aca="false">IF(CH7=0,0,INDEX($CA$2:$CA$57,CH7))</f>
        <v>0</v>
      </c>
      <c r="CO7" s="15" t="n">
        <f aca="false">CL7+$U$11+CN7+CJ7*$U$2</f>
        <v>0</v>
      </c>
      <c r="CP7" s="15" t="n">
        <f aca="false">CM7+CH7+CJ7</f>
        <v>0</v>
      </c>
      <c r="CQ7" s="15" t="n">
        <f aca="false">IF(CP7&gt;0,MIN(600,INT((CO7/CP7*40)+0.5+0.000000001)),0)</f>
        <v>0</v>
      </c>
      <c r="CR7" s="15" t="n">
        <f aca="false">$U$9+CT7</f>
        <v>0</v>
      </c>
      <c r="CS7" s="15" t="n">
        <f aca="false">IF(CK7&lt;35,7,IF(CK7&gt;40,8,CHOOSE(CK7-34,7,7,7,8,8,8)))</f>
        <v>7</v>
      </c>
      <c r="CT7" s="15" t="n">
        <f aca="false">$U$10+MAX(0,CH7-$U$8)+CJ7*IF($U$2&lt;5,1,0)</f>
        <v>0</v>
      </c>
      <c r="CU7" s="15" t="n">
        <f aca="false">$U$11+CN7+CJ7*$U$2</f>
        <v>0</v>
      </c>
      <c r="CV7" s="15" t="n">
        <f aca="false">IF(CQ7&gt;=200,1,0)</f>
        <v>0</v>
      </c>
      <c r="CW7" s="15" t="n">
        <f aca="false">IF(CR7&lt;=CS7,1,0)</f>
        <v>1</v>
      </c>
      <c r="CX7" s="15" t="n">
        <f aca="false">IF($U$9&lt;=3,1,0)</f>
        <v>1</v>
      </c>
      <c r="CY7" s="15" t="n">
        <f aca="false">1</f>
        <v>1</v>
      </c>
      <c r="CZ7" s="15" t="n">
        <f aca="false">1</f>
        <v>1</v>
      </c>
      <c r="DA7" s="15" t="n">
        <f aca="false">1</f>
        <v>1</v>
      </c>
      <c r="DB7" s="15" t="n">
        <f aca="false">IF($U$12=0,1,0)</f>
        <v>1</v>
      </c>
      <c r="DC7" s="15" t="n">
        <f aca="false">1</f>
        <v>1</v>
      </c>
      <c r="DD7" s="15" t="n">
        <f aca="false">1</f>
        <v>1</v>
      </c>
      <c r="DE7" s="15" t="n">
        <f aca="false">IF(CF7&lt;0,0,1)</f>
        <v>1</v>
      </c>
      <c r="DF7" s="15" t="n">
        <f aca="false">IF(CV7*CW7*CX7*CY7*CZ7*DA7*DB7*DC7*DD7*DE7=1,1,0)</f>
        <v>0</v>
      </c>
      <c r="DG7" s="15" t="n">
        <f aca="false">$U$6+CI7</f>
        <v>39</v>
      </c>
      <c r="DH7" s="15" t="n">
        <f aca="false">DF7*1000000+CQ7*100+(100-CK7)</f>
        <v>100</v>
      </c>
    </row>
    <row r="8" customFormat="false" ht="37.5" hidden="false" customHeight="true" outlineLevel="0" collapsed="false">
      <c r="B8" s="21" t="s">
        <v>317</v>
      </c>
      <c r="C8" s="22"/>
      <c r="D8" s="23" t="s">
        <v>148</v>
      </c>
      <c r="E8" s="24"/>
      <c r="F8" s="24"/>
      <c r="G8" s="24"/>
      <c r="H8" s="24"/>
      <c r="I8" s="25"/>
      <c r="J8" s="24"/>
      <c r="L8" s="26" t="s">
        <v>156</v>
      </c>
      <c r="M8" s="28" t="str">
        <f aca="false">IF($U$4=0,"",$U$60)</f>
        <v/>
      </c>
      <c r="N8" s="29" t="s">
        <v>157</v>
      </c>
      <c r="T8" s="15" t="s">
        <v>158</v>
      </c>
      <c r="U8" s="15" t="n">
        <f aca="false">COUNTIF($AH$6:$AK$24,"&gt;=5")</f>
        <v>0</v>
      </c>
      <c r="V8" s="15" t="n">
        <f aca="false">COUNTIF($AM$6:$AP$24,"&gt;=5")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IF(BN8="","",IF(ISNUMBER($J$8),INT(((2*BN8+$J$8)/3*$U$16)+0.5+0.000000001),BN8*$U$16))</f>
        <v/>
      </c>
      <c r="BP8" s="15" t="n">
        <f aca="false">IF(BO8="",0,IF(BO8&gt;=5*$U$16-0.000000001,1,0))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IF(BT8="","",IF(ISNUMBER($J$8),INT(((2*BT8+$J$8)/3*$U$16)+0.5+0.000000001),BT8*$U$16))</f>
        <v>35</v>
      </c>
      <c r="BV8" s="15" t="n">
        <f aca="false">IF(BU8="",0,IF(BU8&gt;=5*$U$16-0.000000001,1,0))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IFERROR(LARGE($AH$6:$AK$24,7),0)</f>
        <v>0</v>
      </c>
      <c r="CA8" s="15" t="n">
        <f aca="false">CA7+BZ8</f>
        <v>0</v>
      </c>
      <c r="CB8" s="15" t="n">
        <f aca="false">IFERROR(LARGE($AM$6:$AP$24,7),0)</f>
        <v>0</v>
      </c>
      <c r="CC8" s="15" t="n">
        <f aca="false">CC7+CB8</f>
        <v>0</v>
      </c>
      <c r="CE8" s="15" t="n">
        <f aca="false">40</f>
        <v>40</v>
      </c>
      <c r="CF8" s="15" t="n">
        <f aca="false">CE8-$U$5-$U$6-0</f>
        <v>24</v>
      </c>
      <c r="CG8" s="15" t="n">
        <f aca="false">MAX(0,CF8)</f>
        <v>24</v>
      </c>
      <c r="CH8" s="15" t="n">
        <f aca="false">MIN(CG8,$U$7)</f>
        <v>0</v>
      </c>
      <c r="CI8" s="15" t="n">
        <f aca="false">CG8-CH8</f>
        <v>24</v>
      </c>
      <c r="CJ8" s="15" t="n">
        <f aca="false">0</f>
        <v>0</v>
      </c>
      <c r="CK8" s="15" t="n">
        <f aca="false">$U$5+CH8+CJ8</f>
        <v>0</v>
      </c>
      <c r="CL8" s="15" t="n">
        <f aca="false">2*AW6+2*AX6+2*AW7+2*AX7</f>
        <v>0</v>
      </c>
      <c r="CM8" s="15" t="n">
        <f aca="false">2*AY6+2*AZ6+2*AY7+2*AZ7+1*AY8+1*AZ8+1*AY9+1*AZ9+SUM($AA$11:$AA$24)</f>
        <v>0</v>
      </c>
      <c r="CN8" s="15" t="n">
        <f aca="false">IF(CH8=0,0,INDEX($CA$2:$CA$57,CH8))</f>
        <v>0</v>
      </c>
      <c r="CO8" s="15" t="n">
        <f aca="false">CL8+$U$11+CN8+CJ8*$U$2</f>
        <v>0</v>
      </c>
      <c r="CP8" s="15" t="n">
        <f aca="false">CM8+CH8+CJ8</f>
        <v>0</v>
      </c>
      <c r="CQ8" s="15" t="n">
        <f aca="false">IF(CP8&gt;0,MIN(600,INT((CO8/CP8*40)+0.5+0.000000001)),0)</f>
        <v>0</v>
      </c>
      <c r="CR8" s="15" t="n">
        <f aca="false">$U$9+CT8</f>
        <v>0</v>
      </c>
      <c r="CS8" s="15" t="n">
        <f aca="false">IF(CK8&lt;35,7,IF(CK8&gt;40,8,CHOOSE(CK8-34,7,7,7,8,8,8)))</f>
        <v>7</v>
      </c>
      <c r="CT8" s="15" t="n">
        <f aca="false">$U$10+MAX(0,CH8-$U$8)+CJ8*IF($U$2&lt;5,1,0)</f>
        <v>0</v>
      </c>
      <c r="CU8" s="15" t="n">
        <f aca="false">$U$11+CN8+CJ8*$U$2</f>
        <v>0</v>
      </c>
      <c r="CV8" s="15" t="n">
        <f aca="false">IF(CQ8&gt;=200,1,0)</f>
        <v>0</v>
      </c>
      <c r="CW8" s="15" t="n">
        <f aca="false">IF(CR8&lt;=CS8,1,0)</f>
        <v>1</v>
      </c>
      <c r="CX8" s="15" t="n">
        <f aca="false">IF($U$9&lt;=3,1,0)</f>
        <v>1</v>
      </c>
      <c r="CY8" s="15" t="n">
        <f aca="false">1</f>
        <v>1</v>
      </c>
      <c r="CZ8" s="15" t="n">
        <f aca="false">1</f>
        <v>1</v>
      </c>
      <c r="DA8" s="15" t="n">
        <f aca="false">1</f>
        <v>1</v>
      </c>
      <c r="DB8" s="15" t="n">
        <f aca="false">IF($U$12=0,1,0)</f>
        <v>1</v>
      </c>
      <c r="DC8" s="15" t="n">
        <f aca="false">1</f>
        <v>1</v>
      </c>
      <c r="DD8" s="15" t="n">
        <f aca="false">1</f>
        <v>1</v>
      </c>
      <c r="DE8" s="15" t="n">
        <f aca="false">IF(CF8&lt;0,0,1)</f>
        <v>1</v>
      </c>
      <c r="DF8" s="15" t="n">
        <f aca="false">IF(CV8*CW8*CX8*CY8*CZ8*DA8*DB8*DC8*DD8*DE8=1,1,0)</f>
        <v>0</v>
      </c>
      <c r="DG8" s="15" t="n">
        <f aca="false">$U$6+CI8</f>
        <v>40</v>
      </c>
      <c r="DH8" s="15" t="n">
        <f aca="false">DF8*1000000+CQ8*100+(100-CK8)</f>
        <v>100</v>
      </c>
    </row>
    <row r="9" customFormat="false" ht="37.5" hidden="false" customHeight="true" outlineLevel="0" collapsed="false">
      <c r="B9" s="21" t="s">
        <v>318</v>
      </c>
      <c r="C9" s="22"/>
      <c r="D9" s="23" t="s">
        <v>148</v>
      </c>
      <c r="E9" s="24"/>
      <c r="F9" s="24"/>
      <c r="G9" s="24"/>
      <c r="H9" s="24"/>
      <c r="I9" s="25"/>
      <c r="J9" s="30" t="s">
        <v>160</v>
      </c>
      <c r="L9" s="31" t="s">
        <v>161</v>
      </c>
      <c r="M9" s="32" t="str">
        <f aca="false">IF($U$4=0,"",$U$65)</f>
        <v/>
      </c>
      <c r="N9" s="29" t="s">
        <v>162</v>
      </c>
      <c r="T9" s="15" t="s">
        <v>163</v>
      </c>
      <c r="U9" s="15" t="n">
        <f aca="false">BA6+BA7</f>
        <v>0</v>
      </c>
      <c r="V9" s="15" t="n">
        <f aca="false">BI6+BI7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IF(BN9="","",BN9*$U$16)</f>
        <v/>
      </c>
      <c r="BP9" s="15" t="n">
        <f aca="false">IF(BO9="",0,IF(BO9&gt;=5*$U$16-0.000000001,1,0))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IF(BT9="","",BT9*$U$16)</f>
        <v>35</v>
      </c>
      <c r="BV9" s="15" t="n">
        <f aca="false">IF(BU9="",0,IF(BU9&gt;=5*$U$16-0.000000001,1,0))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IFERROR(LARGE($AH$6:$AK$24,8),0)</f>
        <v>0</v>
      </c>
      <c r="CA9" s="15" t="n">
        <f aca="false">CA8+BZ9</f>
        <v>0</v>
      </c>
      <c r="CB9" s="15" t="n">
        <f aca="false">IFERROR(LARGE($AM$6:$AP$24,8),0)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6" t="s">
        <v>167</v>
      </c>
      <c r="C10" s="6" t="s">
        <v>112</v>
      </c>
      <c r="D10" s="34" t="s">
        <v>168</v>
      </c>
      <c r="E10" s="35" t="s">
        <v>113</v>
      </c>
      <c r="F10" s="35" t="s">
        <v>114</v>
      </c>
      <c r="G10" s="35" t="s">
        <v>115</v>
      </c>
      <c r="H10" s="35" t="s">
        <v>116</v>
      </c>
      <c r="I10" s="20"/>
      <c r="J10" s="20"/>
      <c r="L10" s="31" t="s">
        <v>165</v>
      </c>
      <c r="M10" s="33" t="str">
        <f aca="false">IF($U$4=0,"",IF($U$67=1,$U$68/10,"nicht bestanden"))</f>
        <v/>
      </c>
      <c r="N10" s="29"/>
      <c r="T10" s="15" t="s">
        <v>166</v>
      </c>
      <c r="U10" s="15" t="n">
        <f aca="false">BA8+BA9+SUM($AB$11:$AB$24)</f>
        <v>0</v>
      </c>
      <c r="V10" s="15" t="n">
        <f aca="false">BI8+BI9+SUM($AF$11:$AF$24)</f>
        <v>0</v>
      </c>
      <c r="X10" s="15" t="s">
        <v>171</v>
      </c>
      <c r="Y10" s="15" t="s">
        <v>172</v>
      </c>
      <c r="Z10" s="15" t="s">
        <v>173</v>
      </c>
      <c r="AA10" s="15" t="s">
        <v>174</v>
      </c>
      <c r="AB10" s="15" t="s">
        <v>127</v>
      </c>
      <c r="AC10" s="15" t="s">
        <v>128</v>
      </c>
      <c r="AD10" s="15" t="s">
        <v>175</v>
      </c>
      <c r="AE10" s="15" t="s">
        <v>176</v>
      </c>
      <c r="AF10" s="15" t="s">
        <v>135</v>
      </c>
      <c r="BZ10" s="15" t="n">
        <f aca="false">IFERROR(LARGE($AH$6:$AK$24,9),0)</f>
        <v>0</v>
      </c>
      <c r="CA10" s="15" t="n">
        <f aca="false">CA9+BZ10</f>
        <v>0</v>
      </c>
      <c r="CB10" s="15" t="n">
        <f aca="false">IFERROR(LARGE($AM$6:$AP$24,9),0)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36" t="s">
        <v>177</v>
      </c>
      <c r="C11" s="37"/>
      <c r="D11" s="38"/>
      <c r="E11" s="24"/>
      <c r="F11" s="24"/>
      <c r="G11" s="24"/>
      <c r="H11" s="24"/>
      <c r="I11" s="39"/>
      <c r="J11" s="39"/>
      <c r="L11" s="26" t="s">
        <v>169</v>
      </c>
      <c r="M11" s="28" t="str">
        <f aca="false">IF($U$4=0,"",IF($U$69="","–",$U$69))</f>
        <v/>
      </c>
      <c r="N11" s="29" t="str">
        <f aca="false">IF($U$4=0,"",IF($U$68="","Punkte bis 300",IF($U$69="","Bestnote erreicht","Punkte → "&amp;FIXED(($U$68-1)/10,1))))</f>
        <v/>
      </c>
      <c r="T11" s="15" t="s">
        <v>170</v>
      </c>
      <c r="U11" s="15" t="n">
        <f aca="false">AW8+AW9+AX8+AX9+SUM($Z$11:$Z$24)</f>
        <v>0</v>
      </c>
      <c r="V11" s="15" t="n">
        <f aca="false">BE8+BE9+BF8+BF9+SUM($AD$11:$AD$24)</f>
        <v>56</v>
      </c>
      <c r="X11" s="15" t="n">
        <f aca="false">IF(OR(LEN(TRIM(C11))&gt;0,COUNT(E11:H11)&gt;0),1,0)</f>
        <v>0</v>
      </c>
      <c r="Y11" s="15" t="n">
        <f aca="false">IF(LEN(TRIM(D11))&gt;0,1,0)</f>
        <v>0</v>
      </c>
      <c r="Z11" s="15" t="n">
        <f aca="false">Y11*SUM(E11:H11)</f>
        <v>0</v>
      </c>
      <c r="AA11" s="15" t="n">
        <f aca="false">Y11*COUNT(E11:H11)</f>
        <v>0</v>
      </c>
      <c r="AB11" s="15" t="n">
        <f aca="false">Y11*COUNTIF(E11:H11,"&lt;5")</f>
        <v>0</v>
      </c>
      <c r="AC11" s="15" t="n">
        <f aca="false">Y11*COUNTIF(E11:H11,0)</f>
        <v>0</v>
      </c>
      <c r="AD11" s="15" t="n">
        <f aca="false">Y11*(SUM(E11:H11)+X11*$U$2*(4-COUNT(E11:H11)))</f>
        <v>0</v>
      </c>
      <c r="AE11" s="15" t="n">
        <f aca="false">Y11*(COUNT(E11:H11)+X11*(4-COUNT(E11:H11)))</f>
        <v>0</v>
      </c>
      <c r="AF11" s="15" t="n">
        <f aca="false">Y11*(COUNTIF(E11:H11,"&lt;5")+X11*IF($U$2&lt;5,1,0)*(4-COUNT(E11:H11)))</f>
        <v>0</v>
      </c>
      <c r="AH11" s="15" t="str">
        <f aca="false">IF(Y11=1,"",IF(ISNUMBER(E11),IF(E11=0,"",E11),""))</f>
        <v/>
      </c>
      <c r="AI11" s="15" t="str">
        <f aca="false">IF(Y11=1,"",IF(ISNUMBER(F11),IF(F11=0,"",F11),""))</f>
        <v/>
      </c>
      <c r="AJ11" s="15" t="str">
        <f aca="false">IF(Y11=1,"",IF(ISNUMBER(G11),IF(G11=0,"",G11),""))</f>
        <v/>
      </c>
      <c r="AK11" s="15" t="str">
        <f aca="false">IF(Y11=1,"",IF(ISNUMBER(H11),IF(H11=0,"",H11),""))</f>
        <v/>
      </c>
      <c r="AM11" s="15" t="str">
        <f aca="false">IF(Y11=1,"",IF(ISNUMBER(E11),IF(E11=0,"",E11),IF(X11=1,$U$2,"")))</f>
        <v/>
      </c>
      <c r="AN11" s="15" t="str">
        <f aca="false">IF(Y11=1,"",IF(ISNUMBER(F11),IF(F11=0,"",F11),IF(X11=1,$U$2,"")))</f>
        <v/>
      </c>
      <c r="AO11" s="15" t="str">
        <f aca="false">IF(Y11=1,"",IF(ISNUMBER(G11),IF(G11=0,"",G11),IF(X11=1,$U$2,"")))</f>
        <v/>
      </c>
      <c r="AP11" s="15" t="str">
        <f aca="false">IF(Y11=1,"",IF(ISNUMBER(H11),IF(H11=0,"",H11),IF(X11=1,$U$2,"")))</f>
        <v/>
      </c>
      <c r="AR11" s="15" t="n">
        <f aca="false">IF(Y11=1,IF(ISNUMBER(E11),1,0),IF(AH11="",0,IF(IF($U$36=1,COUNTIF($AH$6:$AK$24,"&gt;"&amp;AH11),COUNTIF($AM$6:$AP$24,"&gt;"&amp;AH11))+COUNTIF($AH$6:$AK$10,AH11)+1&lt;=$U$46,1,0)))</f>
        <v>0</v>
      </c>
      <c r="AS11" s="15" t="n">
        <f aca="false">IF(Y11=1,IF(ISNUMBER(F11),1,0),IF(AI11="",0,IF(IF($U$36=1,COUNTIF($AH$6:$AK$24,"&gt;"&amp;AI11),COUNTIF($AM$6:$AP$24,"&gt;"&amp;AI11))+COUNTIF($AH$6:$AK$10,AI11)+COUNTIF($AH11:AH11,AI11)+1&lt;=$U$46,1,0)))</f>
        <v>0</v>
      </c>
      <c r="AT11" s="15" t="n">
        <f aca="false">IF(Y11=1,IF(ISNUMBER(G11),1,0),IF(AJ11="",0,IF(IF($U$36=1,COUNTIF($AH$6:$AK$24,"&gt;"&amp;AJ11),COUNTIF($AM$6:$AP$24,"&gt;"&amp;AJ11))+COUNTIF($AH$6:$AK$10,AJ11)+COUNTIF($AH11:AI11,AJ11)+1&lt;=$U$46,1,0)))</f>
        <v>0</v>
      </c>
      <c r="AU11" s="15" t="n">
        <f aca="false">IF(Y11=1,IF(ISNUMBER(H11),1,0),IF(AK11="",0,IF(IF($U$36=1,COUNTIF($AH$6:$AK$24,"&gt;"&amp;AK11),COUNTIF($AM$6:$AP$24,"&gt;"&amp;AK11))+COUNTIF($AH$6:$AK$10,AK11)+COUNTIF($AH11:AJ11,AK11)+1&lt;=$U$46,1,0)))</f>
        <v>0</v>
      </c>
      <c r="BZ11" s="15" t="n">
        <f aca="false">IFERROR(LARGE($AH$6:$AK$24,10),0)</f>
        <v>0</v>
      </c>
      <c r="CA11" s="15" t="n">
        <f aca="false">CA10+BZ11</f>
        <v>0</v>
      </c>
      <c r="CB11" s="15" t="n">
        <f aca="false">IFERROR(LARGE($AM$6:$AP$24,10),0)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6" t="s">
        <v>180</v>
      </c>
      <c r="C12" s="37"/>
      <c r="D12" s="38"/>
      <c r="E12" s="24"/>
      <c r="F12" s="24"/>
      <c r="G12" s="24"/>
      <c r="H12" s="24"/>
      <c r="I12" s="39"/>
      <c r="J12" s="39"/>
      <c r="L12" s="26" t="s">
        <v>178</v>
      </c>
      <c r="M12" s="28" t="str">
        <f aca="false">IF(OR($U$4=0,$U$70=""),"",$U$70)</f>
        <v/>
      </c>
      <c r="N12" s="29" t="str">
        <f aca="false">IF(OR($U$4=0,$U$70=""),"","Punkte Luft")</f>
        <v/>
      </c>
      <c r="T12" s="15" t="s">
        <v>179</v>
      </c>
      <c r="U12" s="15" t="n">
        <f aca="false">BB6+BB7+BB8+BB9+SUM($AC$11:$AC$24)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IF(Y12=1,IF(ISNUMBER(E12),1,0),IF(AH12="",0,IF(IF($U$36=1,COUNTIF($AH$6:$AK$24,"&gt;"&amp;AH12),COUNTIF($AM$6:$AP$24,"&gt;"&amp;AH12))+COUNTIF($AH$6:$AK$11,AH12)+1&lt;=$U$46,1,0)))</f>
        <v>0</v>
      </c>
      <c r="AS12" s="15" t="n">
        <f aca="false">IF(Y12=1,IF(ISNUMBER(F12),1,0),IF(AI12="",0,IF(IF($U$36=1,COUNTIF($AH$6:$AK$24,"&gt;"&amp;AI12),COUNTIF($AM$6:$AP$24,"&gt;"&amp;AI12))+COUNTIF($AH$6:$AK$11,AI12)+COUNTIF($AH12:AH12,AI12)+1&lt;=$U$46,1,0)))</f>
        <v>0</v>
      </c>
      <c r="AT12" s="15" t="n">
        <f aca="false">IF(Y12=1,IF(ISNUMBER(G12),1,0),IF(AJ12="",0,IF(IF($U$36=1,COUNTIF($AH$6:$AK$24,"&gt;"&amp;AJ12),COUNTIF($AM$6:$AP$24,"&gt;"&amp;AJ12))+COUNTIF($AH$6:$AK$11,AJ12)+COUNTIF($AH12:AI12,AJ12)+1&lt;=$U$46,1,0)))</f>
        <v>0</v>
      </c>
      <c r="AU12" s="15" t="n">
        <f aca="false">IF(Y12=1,IF(ISNUMBER(H12),1,0),IF(AK12="",0,IF(IF($U$36=1,COUNTIF($AH$6:$AK$24,"&gt;"&amp;AK12),COUNTIF($AM$6:$AP$24,"&gt;"&amp;AK12))+COUNTIF($AH$6:$AK$11,AK12)+COUNTIF($AH12:AJ12,AK12)+1&lt;=$U$46,1,0)))</f>
        <v>0</v>
      </c>
      <c r="BZ12" s="15" t="n">
        <f aca="false">IFERROR(LARGE($AH$6:$AK$24,11),0)</f>
        <v>0</v>
      </c>
      <c r="CA12" s="15" t="n">
        <f aca="false">CA11+BZ12</f>
        <v>0</v>
      </c>
      <c r="CB12" s="15" t="n">
        <f aca="false">IFERROR(LARGE($AM$6:$AP$24,11),0)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183</v>
      </c>
      <c r="C13" s="37"/>
      <c r="D13" s="38"/>
      <c r="E13" s="24"/>
      <c r="F13" s="24"/>
      <c r="G13" s="24"/>
      <c r="H13" s="24"/>
      <c r="I13" s="39"/>
      <c r="J13" s="39"/>
      <c r="L13" s="26" t="s">
        <v>181</v>
      </c>
      <c r="M13" s="28" t="str">
        <f aca="false">IF($U$4=0,"",$U$38)</f>
        <v/>
      </c>
      <c r="N13" s="29" t="str">
        <f aca="false">IF($U$4=0,"","Formel: "&amp;FIXED($U$45,1)&amp;" / "&amp;$U$44&amp;" × 40")</f>
        <v/>
      </c>
      <c r="T13" s="15" t="s">
        <v>182</v>
      </c>
      <c r="U13" s="15" t="n">
        <f aca="false">MATCH(MAX($DH$3:$DH$8),$DH$3:$DH$8,0)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IF(Y13=1,IF(ISNUMBER(E13),1,0),IF(AH13="",0,IF(IF($U$36=1,COUNTIF($AH$6:$AK$24,"&gt;"&amp;AH13),COUNTIF($AM$6:$AP$24,"&gt;"&amp;AH13))+COUNTIF($AH$6:$AK$12,AH13)+1&lt;=$U$46,1,0)))</f>
        <v>0</v>
      </c>
      <c r="AS13" s="15" t="n">
        <f aca="false">IF(Y13=1,IF(ISNUMBER(F13),1,0),IF(AI13="",0,IF(IF($U$36=1,COUNTIF($AH$6:$AK$24,"&gt;"&amp;AI13),COUNTIF($AM$6:$AP$24,"&gt;"&amp;AI13))+COUNTIF($AH$6:$AK$12,AI13)+COUNTIF($AH13:AH13,AI13)+1&lt;=$U$46,1,0)))</f>
        <v>0</v>
      </c>
      <c r="AT13" s="15" t="n">
        <f aca="false">IF(Y13=1,IF(ISNUMBER(G13),1,0),IF(AJ13="",0,IF(IF($U$36=1,COUNTIF($AH$6:$AK$24,"&gt;"&amp;AJ13),COUNTIF($AM$6:$AP$24,"&gt;"&amp;AJ13))+COUNTIF($AH$6:$AK$12,AJ13)+COUNTIF($AH13:AI13,AJ13)+1&lt;=$U$46,1,0)))</f>
        <v>0</v>
      </c>
      <c r="AU13" s="15" t="n">
        <f aca="false">IF(Y13=1,IF(ISNUMBER(H13),1,0),IF(AK13="",0,IF(IF($U$36=1,COUNTIF($AH$6:$AK$24,"&gt;"&amp;AK13),COUNTIF($AM$6:$AP$24,"&gt;"&amp;AK13))+COUNTIF($AH$6:$AK$12,AK13)+COUNTIF($AH13:AJ13,AK13)+1&lt;=$U$46,1,0)))</f>
        <v>0</v>
      </c>
      <c r="BZ13" s="15" t="n">
        <f aca="false">IFERROR(LARGE($AH$6:$AK$24,12),0)</f>
        <v>0</v>
      </c>
      <c r="CA13" s="15" t="n">
        <f aca="false">CA12+BZ13</f>
        <v>0</v>
      </c>
      <c r="CB13" s="15" t="n">
        <f aca="false">IFERROR(LARGE($AM$6:$AP$24,12),0)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186</v>
      </c>
      <c r="C14" s="37"/>
      <c r="D14" s="38"/>
      <c r="E14" s="24"/>
      <c r="F14" s="24"/>
      <c r="G14" s="24"/>
      <c r="H14" s="24"/>
      <c r="I14" s="39"/>
      <c r="J14" s="39"/>
      <c r="L14" s="26" t="s">
        <v>184</v>
      </c>
      <c r="M14" s="28" t="str">
        <f aca="false">IF($U$4=0,"",$U$39)</f>
        <v/>
      </c>
      <c r="N14" s="29" t="str">
        <f aca="false">IF($U$4=0,"","erlaubt: höchstens "&amp;$U$40)</f>
        <v/>
      </c>
      <c r="T14" s="15" t="s">
        <v>185</v>
      </c>
      <c r="U14" s="15" t="n">
        <f aca="false">MATCH(MAX($DH$23:$DH$28),$DH$23:$DH$28,0)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IF(Y14=1,IF(ISNUMBER(E14),1,0),IF(AH14="",0,IF(IF($U$36=1,COUNTIF($AH$6:$AK$24,"&gt;"&amp;AH14),COUNTIF($AM$6:$AP$24,"&gt;"&amp;AH14))+COUNTIF($AH$6:$AK$13,AH14)+1&lt;=$U$46,1,0)))</f>
        <v>0</v>
      </c>
      <c r="AS14" s="15" t="n">
        <f aca="false">IF(Y14=1,IF(ISNUMBER(F14),1,0),IF(AI14="",0,IF(IF($U$36=1,COUNTIF($AH$6:$AK$24,"&gt;"&amp;AI14),COUNTIF($AM$6:$AP$24,"&gt;"&amp;AI14))+COUNTIF($AH$6:$AK$13,AI14)+COUNTIF($AH14:AH14,AI14)+1&lt;=$U$46,1,0)))</f>
        <v>0</v>
      </c>
      <c r="AT14" s="15" t="n">
        <f aca="false">IF(Y14=1,IF(ISNUMBER(G14),1,0),IF(AJ14="",0,IF(IF($U$36=1,COUNTIF($AH$6:$AK$24,"&gt;"&amp;AJ14),COUNTIF($AM$6:$AP$24,"&gt;"&amp;AJ14))+COUNTIF($AH$6:$AK$13,AJ14)+COUNTIF($AH14:AI14,AJ14)+1&lt;=$U$46,1,0)))</f>
        <v>0</v>
      </c>
      <c r="AU14" s="15" t="n">
        <f aca="false">IF(Y14=1,IF(ISNUMBER(H14),1,0),IF(AK14="",0,IF(IF($U$36=1,COUNTIF($AH$6:$AK$24,"&gt;"&amp;AK14),COUNTIF($AM$6:$AP$24,"&gt;"&amp;AK14))+COUNTIF($AH$6:$AK$13,AK14)+COUNTIF($AH14:AJ14,AK14)+1&lt;=$U$46,1,0)))</f>
        <v>0</v>
      </c>
      <c r="BZ14" s="15" t="n">
        <f aca="false">IFERROR(LARGE($AH$6:$AK$24,13),0)</f>
        <v>0</v>
      </c>
      <c r="CA14" s="15" t="n">
        <f aca="false">CA13+BZ14</f>
        <v>0</v>
      </c>
      <c r="CB14" s="15" t="n">
        <f aca="false">IFERROR(LARGE($AM$6:$AP$24,13),0)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190</v>
      </c>
      <c r="C15" s="37"/>
      <c r="D15" s="38"/>
      <c r="E15" s="24"/>
      <c r="F15" s="24"/>
      <c r="G15" s="24"/>
      <c r="H15" s="24"/>
      <c r="I15" s="39"/>
      <c r="J15" s="39"/>
      <c r="L15" s="26" t="s">
        <v>187</v>
      </c>
      <c r="M15" s="28" t="str">
        <f aca="false">IF($U$4=0,"","+"&amp;$U$16)</f>
        <v/>
      </c>
      <c r="N15" s="29" t="s">
        <v>188</v>
      </c>
      <c r="T15" s="15" t="s">
        <v>337</v>
      </c>
      <c r="U15" s="15" t="n">
        <f aca="false">IF(ISNUMBER($I$26),1,0)</f>
        <v>0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IF(Y15=1,IF(ISNUMBER(E15),1,0),IF(AH15="",0,IF(IF($U$36=1,COUNTIF($AH$6:$AK$24,"&gt;"&amp;AH15),COUNTIF($AM$6:$AP$24,"&gt;"&amp;AH15))+COUNTIF($AH$6:$AK$14,AH15)+1&lt;=$U$46,1,0)))</f>
        <v>0</v>
      </c>
      <c r="AS15" s="15" t="n">
        <f aca="false">IF(Y15=1,IF(ISNUMBER(F15),1,0),IF(AI15="",0,IF(IF($U$36=1,COUNTIF($AH$6:$AK$24,"&gt;"&amp;AI15),COUNTIF($AM$6:$AP$24,"&gt;"&amp;AI15))+COUNTIF($AH$6:$AK$14,AI15)+COUNTIF($AH15:AH15,AI15)+1&lt;=$U$46,1,0)))</f>
        <v>0</v>
      </c>
      <c r="AT15" s="15" t="n">
        <f aca="false">IF(Y15=1,IF(ISNUMBER(G15),1,0),IF(AJ15="",0,IF(IF($U$36=1,COUNTIF($AH$6:$AK$24,"&gt;"&amp;AJ15),COUNTIF($AM$6:$AP$24,"&gt;"&amp;AJ15))+COUNTIF($AH$6:$AK$14,AJ15)+COUNTIF($AH15:AI15,AJ15)+1&lt;=$U$46,1,0)))</f>
        <v>0</v>
      </c>
      <c r="AU15" s="15" t="n">
        <f aca="false">IF(Y15=1,IF(ISNUMBER(H15),1,0),IF(AK15="",0,IF(IF($U$36=1,COUNTIF($AH$6:$AK$24,"&gt;"&amp;AK15),COUNTIF($AM$6:$AP$24,"&gt;"&amp;AK15))+COUNTIF($AH$6:$AK$14,AK15)+COUNTIF($AH15:AJ15,AK15)+1&lt;=$U$46,1,0)))</f>
        <v>0</v>
      </c>
      <c r="BZ15" s="15" t="n">
        <f aca="false">IFERROR(LARGE($AH$6:$AK$24,14),0)</f>
        <v>0</v>
      </c>
      <c r="CA15" s="15" t="n">
        <f aca="false">CA14+BZ15</f>
        <v>0</v>
      </c>
      <c r="CB15" s="15" t="n">
        <f aca="false">IFERROR(LARGE($AM$6:$AP$24,14),0)</f>
        <v>0</v>
      </c>
      <c r="CC15" s="15" t="n">
        <f aca="false">CC14+CB15</f>
        <v>0</v>
      </c>
    </row>
    <row r="16" customFormat="false" ht="15" hidden="false" customHeight="false" outlineLevel="0" collapsed="false">
      <c r="B16" s="36" t="s">
        <v>194</v>
      </c>
      <c r="C16" s="37"/>
      <c r="D16" s="38"/>
      <c r="E16" s="24"/>
      <c r="F16" s="24"/>
      <c r="G16" s="24"/>
      <c r="H16" s="24"/>
      <c r="I16" s="39"/>
      <c r="J16" s="39"/>
      <c r="L16" s="26" t="s">
        <v>191</v>
      </c>
      <c r="M16" s="28" t="str">
        <f aca="false">IF($U$4=0,"","≈ +"&amp;FIXED(40/$U$44,2))</f>
        <v/>
      </c>
      <c r="N16" s="29" t="s">
        <v>192</v>
      </c>
      <c r="T16" s="15" t="s">
        <v>189</v>
      </c>
      <c r="U16" s="15" t="n">
        <f aca="false">IF($U$15=1,4,5)</f>
        <v>5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IF(Y16=1,IF(ISNUMBER(E16),1,0),IF(AH16="",0,IF(IF($U$36=1,COUNTIF($AH$6:$AK$24,"&gt;"&amp;AH16),COUNTIF($AM$6:$AP$24,"&gt;"&amp;AH16))+COUNTIF($AH$6:$AK$15,AH16)+1&lt;=$U$46,1,0)))</f>
        <v>0</v>
      </c>
      <c r="AS16" s="15" t="n">
        <f aca="false">IF(Y16=1,IF(ISNUMBER(F16),1,0),IF(AI16="",0,IF(IF($U$36=1,COUNTIF($AH$6:$AK$24,"&gt;"&amp;AI16),COUNTIF($AM$6:$AP$24,"&gt;"&amp;AI16))+COUNTIF($AH$6:$AK$15,AI16)+COUNTIF($AH16:AH16,AI16)+1&lt;=$U$46,1,0)))</f>
        <v>0</v>
      </c>
      <c r="AT16" s="15" t="n">
        <f aca="false">IF(Y16=1,IF(ISNUMBER(G16),1,0),IF(AJ16="",0,IF(IF($U$36=1,COUNTIF($AH$6:$AK$24,"&gt;"&amp;AJ16),COUNTIF($AM$6:$AP$24,"&gt;"&amp;AJ16))+COUNTIF($AH$6:$AK$15,AJ16)+COUNTIF($AH16:AI16,AJ16)+1&lt;=$U$46,1,0)))</f>
        <v>0</v>
      </c>
      <c r="AU16" s="15" t="n">
        <f aca="false">IF(Y16=1,IF(ISNUMBER(H16),1,0),IF(AK16="",0,IF(IF($U$36=1,COUNTIF($AH$6:$AK$24,"&gt;"&amp;AK16),COUNTIF($AM$6:$AP$24,"&gt;"&amp;AK16))+COUNTIF($AH$6:$AK$15,AK16)+COUNTIF($AH16:AJ16,AK16)+1&lt;=$U$46,1,0)))</f>
        <v>0</v>
      </c>
      <c r="BZ16" s="15" t="n">
        <f aca="false">IFERROR(LARGE($AH$6:$AK$24,15),0)</f>
        <v>0</v>
      </c>
      <c r="CA16" s="15" t="n">
        <f aca="false">CA15+BZ16</f>
        <v>0</v>
      </c>
      <c r="CB16" s="15" t="n">
        <f aca="false">IFERROR(LARGE($AM$6:$AP$24,15),0)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196</v>
      </c>
      <c r="C17" s="37"/>
      <c r="D17" s="38"/>
      <c r="E17" s="24"/>
      <c r="F17" s="24"/>
      <c r="G17" s="24"/>
      <c r="H17" s="24"/>
      <c r="I17" s="39"/>
      <c r="J17" s="39"/>
      <c r="T17" s="15" t="s">
        <v>193</v>
      </c>
      <c r="U17" s="15" t="n">
        <f aca="false">MIN(300,INT((SUM(BO6,BO7,BO8,BO9,BO26))+0.5+0.000000001))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IF(Y17=1,IF(ISNUMBER(E17),1,0),IF(AH17="",0,IF(IF($U$36=1,COUNTIF($AH$6:$AK$24,"&gt;"&amp;AH17),COUNTIF($AM$6:$AP$24,"&gt;"&amp;AH17))+COUNTIF($AH$6:$AK$16,AH17)+1&lt;=$U$46,1,0)))</f>
        <v>0</v>
      </c>
      <c r="AS17" s="15" t="n">
        <f aca="false">IF(Y17=1,IF(ISNUMBER(F17),1,0),IF(AI17="",0,IF(IF($U$36=1,COUNTIF($AH$6:$AK$24,"&gt;"&amp;AI17),COUNTIF($AM$6:$AP$24,"&gt;"&amp;AI17))+COUNTIF($AH$6:$AK$16,AI17)+COUNTIF($AH17:AH17,AI17)+1&lt;=$U$46,1,0)))</f>
        <v>0</v>
      </c>
      <c r="AT17" s="15" t="n">
        <f aca="false">IF(Y17=1,IF(ISNUMBER(G17),1,0),IF(AJ17="",0,IF(IF($U$36=1,COUNTIF($AH$6:$AK$24,"&gt;"&amp;AJ17),COUNTIF($AM$6:$AP$24,"&gt;"&amp;AJ17))+COUNTIF($AH$6:$AK$16,AJ17)+COUNTIF($AH17:AI17,AJ17)+1&lt;=$U$46,1,0)))</f>
        <v>0</v>
      </c>
      <c r="AU17" s="15" t="n">
        <f aca="false">IF(Y17=1,IF(ISNUMBER(H17),1,0),IF(AK17="",0,IF(IF($U$36=1,COUNTIF($AH$6:$AK$24,"&gt;"&amp;AK17),COUNTIF($AM$6:$AP$24,"&gt;"&amp;AK17))+COUNTIF($AH$6:$AK$16,AK17)+COUNTIF($AH17:AJ17,AK17)+1&lt;=$U$46,1,0)))</f>
        <v>0</v>
      </c>
      <c r="BZ17" s="15" t="n">
        <f aca="false">IFERROR(LARGE($AH$6:$AK$24,16),0)</f>
        <v>0</v>
      </c>
      <c r="CA17" s="15" t="n">
        <f aca="false">CA16+BZ17</f>
        <v>0</v>
      </c>
      <c r="CB17" s="15" t="n">
        <f aca="false">IFERROR(LARGE($AM$6:$AP$24,16),0)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200</v>
      </c>
      <c r="C18" s="37"/>
      <c r="D18" s="38"/>
      <c r="E18" s="24"/>
      <c r="F18" s="24"/>
      <c r="G18" s="24"/>
      <c r="H18" s="24"/>
      <c r="I18" s="39"/>
      <c r="J18" s="39"/>
      <c r="L18" s="40" t="s">
        <v>197</v>
      </c>
      <c r="M18" s="41" t="s">
        <v>149</v>
      </c>
      <c r="N18" s="6" t="s">
        <v>198</v>
      </c>
      <c r="T18" s="15" t="s">
        <v>195</v>
      </c>
      <c r="U18" s="15" t="n">
        <f aca="false">SUM(BP6,BP7,BP8,BP9,BP26)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IF(Y18=1,IF(ISNUMBER(E18),1,0),IF(AH18="",0,IF(IF($U$36=1,COUNTIF($AH$6:$AK$24,"&gt;"&amp;AH18),COUNTIF($AM$6:$AP$24,"&gt;"&amp;AH18))+COUNTIF($AH$6:$AK$17,AH18)+1&lt;=$U$46,1,0)))</f>
        <v>0</v>
      </c>
      <c r="AS18" s="15" t="n">
        <f aca="false">IF(Y18=1,IF(ISNUMBER(F18),1,0),IF(AI18="",0,IF(IF($U$36=1,COUNTIF($AH$6:$AK$24,"&gt;"&amp;AI18),COUNTIF($AM$6:$AP$24,"&gt;"&amp;AI18))+COUNTIF($AH$6:$AK$17,AI18)+COUNTIF($AH18:AH18,AI18)+1&lt;=$U$46,1,0)))</f>
        <v>0</v>
      </c>
      <c r="AT18" s="15" t="n">
        <f aca="false">IF(Y18=1,IF(ISNUMBER(G18),1,0),IF(AJ18="",0,IF(IF($U$36=1,COUNTIF($AH$6:$AK$24,"&gt;"&amp;AJ18),COUNTIF($AM$6:$AP$24,"&gt;"&amp;AJ18))+COUNTIF($AH$6:$AK$17,AJ18)+COUNTIF($AH18:AI18,AJ18)+1&lt;=$U$46,1,0)))</f>
        <v>0</v>
      </c>
      <c r="AU18" s="15" t="n">
        <f aca="false">IF(Y18=1,IF(ISNUMBER(H18),1,0),IF(AK18="",0,IF(IF($U$36=1,COUNTIF($AH$6:$AK$24,"&gt;"&amp;AK18),COUNTIF($AM$6:$AP$24,"&gt;"&amp;AK18))+COUNTIF($AH$6:$AK$17,AK18)+COUNTIF($AH18:AJ18,AK18)+1&lt;=$U$46,1,0)))</f>
        <v>0</v>
      </c>
      <c r="BZ18" s="15" t="n">
        <f aca="false">IFERROR(LARGE($AH$6:$AK$24,17),0)</f>
        <v>0</v>
      </c>
      <c r="CA18" s="15" t="n">
        <f aca="false">CA17+BZ18</f>
        <v>0</v>
      </c>
      <c r="CB18" s="15" t="n">
        <f aca="false">IFERROR(LARGE($AM$6:$AP$24,17),0)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203</v>
      </c>
      <c r="C19" s="37"/>
      <c r="D19" s="38"/>
      <c r="E19" s="24"/>
      <c r="F19" s="24"/>
      <c r="G19" s="24"/>
      <c r="H19" s="24"/>
      <c r="I19" s="39"/>
      <c r="J19" s="39"/>
      <c r="L19" s="42" t="s">
        <v>201</v>
      </c>
      <c r="M19" s="43" t="str">
        <f aca="false">IF($U$4=0,"",IF($U$48=1,"✓ erfüllt","✗ nicht erfüllt"))</f>
        <v/>
      </c>
      <c r="N19" s="36" t="str">
        <f aca="false">IF($U$4=0,"",$U$37&amp;" Punkte")</f>
        <v/>
      </c>
      <c r="T19" s="15" t="s">
        <v>199</v>
      </c>
      <c r="U19" s="15" t="n">
        <f aca="false">BP6+BP7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IF(Y19=1,IF(ISNUMBER(E19),1,0),IF(AH19="",0,IF(IF($U$36=1,COUNTIF($AH$6:$AK$24,"&gt;"&amp;AH19),COUNTIF($AM$6:$AP$24,"&gt;"&amp;AH19))+COUNTIF($AH$6:$AK$18,AH19)+1&lt;=$U$46,1,0)))</f>
        <v>0</v>
      </c>
      <c r="AS19" s="15" t="n">
        <f aca="false">IF(Y19=1,IF(ISNUMBER(F19),1,0),IF(AI19="",0,IF(IF($U$36=1,COUNTIF($AH$6:$AK$24,"&gt;"&amp;AI19),COUNTIF($AM$6:$AP$24,"&gt;"&amp;AI19))+COUNTIF($AH$6:$AK$18,AI19)+COUNTIF($AH19:AH19,AI19)+1&lt;=$U$46,1,0)))</f>
        <v>0</v>
      </c>
      <c r="AT19" s="15" t="n">
        <f aca="false">IF(Y19=1,IF(ISNUMBER(G19),1,0),IF(AJ19="",0,IF(IF($U$36=1,COUNTIF($AH$6:$AK$24,"&gt;"&amp;AJ19),COUNTIF($AM$6:$AP$24,"&gt;"&amp;AJ19))+COUNTIF($AH$6:$AK$18,AJ19)+COUNTIF($AH19:AI19,AJ19)+1&lt;=$U$46,1,0)))</f>
        <v>0</v>
      </c>
      <c r="AU19" s="15" t="n">
        <f aca="false">IF(Y19=1,IF(ISNUMBER(H19),1,0),IF(AK19="",0,IF(IF($U$36=1,COUNTIF($AH$6:$AK$24,"&gt;"&amp;AK19),COUNTIF($AM$6:$AP$24,"&gt;"&amp;AK19))+COUNTIF($AH$6:$AK$18,AK19)+COUNTIF($AH19:AJ19,AK19)+1&lt;=$U$46,1,0)))</f>
        <v>0</v>
      </c>
      <c r="BZ19" s="15" t="n">
        <f aca="false">IFERROR(LARGE($AH$6:$AK$24,18),0)</f>
        <v>0</v>
      </c>
      <c r="CA19" s="15" t="n">
        <f aca="false">CA18+BZ19</f>
        <v>0</v>
      </c>
      <c r="CB19" s="15" t="n">
        <f aca="false">IFERROR(LARGE($AM$6:$AP$24,18),0)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205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"&amp;$U$40&amp;" Unterkurse (unter 5 Punkten)"</f>
        <v>Höchstens 7 Unterkurse (unter 5 Punkten)</v>
      </c>
      <c r="M20" s="43" t="str">
        <f aca="false">IF($U$4=0,"",IF($U$49=1,"✓ erfüllt","✗ nicht erfüllt"))</f>
        <v/>
      </c>
      <c r="N20" s="36" t="str">
        <f aca="false">IF($U$4=0,"",$U$39&amp;" Unterkurse")</f>
        <v/>
      </c>
      <c r="T20" s="15" t="s">
        <v>202</v>
      </c>
      <c r="U20" s="15" t="n">
        <f aca="false">BQ6+BQ7+BQ8+BQ9+BQ26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IF(Y20=1,IF(ISNUMBER(E20),1,0),IF(AH20="",0,IF(IF($U$36=1,COUNTIF($AH$6:$AK$24,"&gt;"&amp;AH20),COUNTIF($AM$6:$AP$24,"&gt;"&amp;AH20))+COUNTIF($AH$6:$AK$19,AH20)+1&lt;=$U$46,1,0)))</f>
        <v>0</v>
      </c>
      <c r="AS20" s="15" t="n">
        <f aca="false">IF(Y20=1,IF(ISNUMBER(F20),1,0),IF(AI20="",0,IF(IF($U$36=1,COUNTIF($AH$6:$AK$24,"&gt;"&amp;AI20),COUNTIF($AM$6:$AP$24,"&gt;"&amp;AI20))+COUNTIF($AH$6:$AK$19,AI20)+COUNTIF($AH20:AH20,AI20)+1&lt;=$U$46,1,0)))</f>
        <v>0</v>
      </c>
      <c r="AT20" s="15" t="n">
        <f aca="false">IF(Y20=1,IF(ISNUMBER(G20),1,0),IF(AJ20="",0,IF(IF($U$36=1,COUNTIF($AH$6:$AK$24,"&gt;"&amp;AJ20),COUNTIF($AM$6:$AP$24,"&gt;"&amp;AJ20))+COUNTIF($AH$6:$AK$19,AJ20)+COUNTIF($AH20:AI20,AJ20)+1&lt;=$U$46,1,0)))</f>
        <v>0</v>
      </c>
      <c r="AU20" s="15" t="n">
        <f aca="false">IF(Y20=1,IF(ISNUMBER(H20),1,0),IF(AK20="",0,IF(IF($U$36=1,COUNTIF($AH$6:$AK$24,"&gt;"&amp;AK20),COUNTIF($AM$6:$AP$24,"&gt;"&amp;AK20))+COUNTIF($AH$6:$AK$19,AK20)+COUNTIF($AH20:AJ20,AK20)+1&lt;=$U$46,1,0)))</f>
        <v>0</v>
      </c>
      <c r="BZ20" s="15" t="n">
        <f aca="false">IFERROR(LARGE($AH$6:$AK$24,19),0)</f>
        <v>0</v>
      </c>
      <c r="CA20" s="15" t="n">
        <f aca="false">CA19+BZ20</f>
        <v>0</v>
      </c>
      <c r="CB20" s="15" t="n">
        <f aca="false">IFERROR(LARGE($AM$6:$AP$24,19),0)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208</v>
      </c>
      <c r="C21" s="37"/>
      <c r="D21" s="38"/>
      <c r="E21" s="24"/>
      <c r="F21" s="24"/>
      <c r="G21" s="24"/>
      <c r="H21" s="24"/>
      <c r="I21" s="39"/>
      <c r="J21" s="39"/>
      <c r="L21" s="42" t="s">
        <v>206</v>
      </c>
      <c r="M21" s="43" t="str">
        <f aca="false">IF($U$4=0,"",IF($U$50=1,"✓ erfüllt","✗ nicht erfüllt"))</f>
        <v/>
      </c>
      <c r="N21" s="36" t="str">
        <f aca="false">IF($U$4=0,"",$U$59&amp;" Unterkurse")</f>
        <v/>
      </c>
      <c r="T21" s="15" t="s">
        <v>204</v>
      </c>
      <c r="U21" s="15" t="n">
        <f aca="false">BR6+BR7+BR8+BR9+BR26</f>
        <v>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IF(Y21=1,IF(ISNUMBER(E21),1,0),IF(AH21="",0,IF(IF($U$36=1,COUNTIF($AH$6:$AK$24,"&gt;"&amp;AH21),COUNTIF($AM$6:$AP$24,"&gt;"&amp;AH21))+COUNTIF($AH$6:$AK$20,AH21)+1&lt;=$U$46,1,0)))</f>
        <v>0</v>
      </c>
      <c r="AS21" s="15" t="n">
        <f aca="false">IF(Y21=1,IF(ISNUMBER(F21),1,0),IF(AI21="",0,IF(IF($U$36=1,COUNTIF($AH$6:$AK$24,"&gt;"&amp;AI21),COUNTIF($AM$6:$AP$24,"&gt;"&amp;AI21))+COUNTIF($AH$6:$AK$20,AI21)+COUNTIF($AH21:AH21,AI21)+1&lt;=$U$46,1,0)))</f>
        <v>0</v>
      </c>
      <c r="AT21" s="15" t="n">
        <f aca="false">IF(Y21=1,IF(ISNUMBER(G21),1,0),IF(AJ21="",0,IF(IF($U$36=1,COUNTIF($AH$6:$AK$24,"&gt;"&amp;AJ21),COUNTIF($AM$6:$AP$24,"&gt;"&amp;AJ21))+COUNTIF($AH$6:$AK$20,AJ21)+COUNTIF($AH21:AI21,AJ21)+1&lt;=$U$46,1,0)))</f>
        <v>0</v>
      </c>
      <c r="AU21" s="15" t="n">
        <f aca="false">IF(Y21=1,IF(ISNUMBER(H21),1,0),IF(AK21="",0,IF(IF($U$36=1,COUNTIF($AH$6:$AK$24,"&gt;"&amp;AK21),COUNTIF($AM$6:$AP$24,"&gt;"&amp;AK21))+COUNTIF($AH$6:$AK$20,AK21)+COUNTIF($AH21:AJ21,AK21)+1&lt;=$U$46,1,0)))</f>
        <v>0</v>
      </c>
      <c r="BZ21" s="15" t="n">
        <f aca="false">IFERROR(LARGE($AH$6:$AK$24,20),0)</f>
        <v>0</v>
      </c>
      <c r="CA21" s="15" t="n">
        <f aca="false">CA20+BZ21</f>
        <v>0</v>
      </c>
      <c r="CB21" s="15" t="n">
        <f aca="false">IFERROR(LARGE($AM$6:$AP$24,20),0)</f>
        <v>0</v>
      </c>
      <c r="CC21" s="15" t="n">
        <f aca="false">CC20+CB21</f>
        <v>0</v>
      </c>
    </row>
    <row r="22" customFormat="false" ht="15" hidden="false" customHeight="false" outlineLevel="0" collapsed="false">
      <c r="B22" s="36" t="s">
        <v>211</v>
      </c>
      <c r="C22" s="37"/>
      <c r="D22" s="38"/>
      <c r="E22" s="24"/>
      <c r="F22" s="24"/>
      <c r="G22" s="24"/>
      <c r="H22" s="24"/>
      <c r="I22" s="39"/>
      <c r="J22" s="39"/>
      <c r="L22" s="42" t="s">
        <v>209</v>
      </c>
      <c r="M22" s="43" t="str">
        <f aca="false">IF($U$4=0,"",IF($U$54=1,"✓ erfüllt","✗ nicht erfüllt"))</f>
        <v/>
      </c>
      <c r="N22" s="36" t="str">
        <f aca="false">IF($U$4=0,"",$U$12&amp;" mit 0 Punkten")</f>
        <v/>
      </c>
      <c r="T22" s="15" t="s">
        <v>207</v>
      </c>
      <c r="U22" s="15" t="n">
        <f aca="false">MIN(300,INT((SUM(BU6,BU7,BU8,BU9,BU26))+0.5+0.000000001))</f>
        <v>140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IF(Y22=1,IF(ISNUMBER(E22),1,0),IF(AH22="",0,IF(IF($U$36=1,COUNTIF($AH$6:$AK$24,"&gt;"&amp;AH22),COUNTIF($AM$6:$AP$24,"&gt;"&amp;AH22))+COUNTIF($AH$6:$AK$21,AH22)+1&lt;=$U$46,1,0)))</f>
        <v>0</v>
      </c>
      <c r="AS22" s="15" t="n">
        <f aca="false">IF(Y22=1,IF(ISNUMBER(F22),1,0),IF(AI22="",0,IF(IF($U$36=1,COUNTIF($AH$6:$AK$24,"&gt;"&amp;AI22),COUNTIF($AM$6:$AP$24,"&gt;"&amp;AI22))+COUNTIF($AH$6:$AK$21,AI22)+COUNTIF($AH22:AH22,AI22)+1&lt;=$U$46,1,0)))</f>
        <v>0</v>
      </c>
      <c r="AT22" s="15" t="n">
        <f aca="false">IF(Y22=1,IF(ISNUMBER(G22),1,0),IF(AJ22="",0,IF(IF($U$36=1,COUNTIF($AH$6:$AK$24,"&gt;"&amp;AJ22),COUNTIF($AM$6:$AP$24,"&gt;"&amp;AJ22))+COUNTIF($AH$6:$AK$21,AJ22)+COUNTIF($AH22:AI22,AJ22)+1&lt;=$U$46,1,0)))</f>
        <v>0</v>
      </c>
      <c r="AU22" s="15" t="n">
        <f aca="false">IF(Y22=1,IF(ISNUMBER(H22),1,0),IF(AK22="",0,IF(IF($U$36=1,COUNTIF($AH$6:$AK$24,"&gt;"&amp;AK22),COUNTIF($AM$6:$AP$24,"&gt;"&amp;AK22))+COUNTIF($AH$6:$AK$21,AK22)+COUNTIF($AH22:AJ22,AK22)+1&lt;=$U$46,1,0)))</f>
        <v>0</v>
      </c>
      <c r="BZ22" s="15" t="n">
        <f aca="false">IFERROR(LARGE($AH$6:$AK$24,21),0)</f>
        <v>0</v>
      </c>
      <c r="CA22" s="15" t="n">
        <f aca="false">CA21+BZ22</f>
        <v>0</v>
      </c>
      <c r="CB22" s="15" t="n">
        <f aca="false">IFERROR(LARGE($AM$6:$AP$24,21),0)</f>
        <v>0</v>
      </c>
      <c r="CC22" s="15" t="n">
        <f aca="false">CC21+CB22</f>
        <v>0</v>
      </c>
      <c r="CE22" s="15" t="s">
        <v>79</v>
      </c>
      <c r="CF22" s="15" t="s">
        <v>80</v>
      </c>
      <c r="CG22" s="15" t="s">
        <v>81</v>
      </c>
      <c r="CH22" s="15" t="s">
        <v>82</v>
      </c>
      <c r="CI22" s="15" t="s">
        <v>83</v>
      </c>
      <c r="CJ22" s="15" t="s">
        <v>84</v>
      </c>
      <c r="CK22" s="15" t="s">
        <v>85</v>
      </c>
      <c r="CL22" s="15" t="s">
        <v>86</v>
      </c>
      <c r="CM22" s="15" t="s">
        <v>87</v>
      </c>
      <c r="CN22" s="15" t="s">
        <v>88</v>
      </c>
      <c r="CO22" s="15" t="s">
        <v>89</v>
      </c>
      <c r="CP22" s="15" t="s">
        <v>90</v>
      </c>
      <c r="CQ22" s="15" t="s">
        <v>91</v>
      </c>
      <c r="CR22" s="15" t="s">
        <v>92</v>
      </c>
      <c r="CS22" s="15" t="s">
        <v>93</v>
      </c>
      <c r="CT22" s="15" t="s">
        <v>94</v>
      </c>
      <c r="CU22" s="15" t="s">
        <v>95</v>
      </c>
      <c r="CV22" s="15" t="s">
        <v>96</v>
      </c>
      <c r="CW22" s="15" t="s">
        <v>97</v>
      </c>
      <c r="CX22" s="15" t="s">
        <v>98</v>
      </c>
      <c r="CY22" s="15" t="s">
        <v>99</v>
      </c>
      <c r="CZ22" s="15" t="s">
        <v>100</v>
      </c>
      <c r="DA22" s="15" t="s">
        <v>101</v>
      </c>
      <c r="DB22" s="15" t="s">
        <v>102</v>
      </c>
      <c r="DC22" s="15" t="s">
        <v>103</v>
      </c>
      <c r="DD22" s="15" t="s">
        <v>104</v>
      </c>
      <c r="DE22" s="15" t="s">
        <v>105</v>
      </c>
      <c r="DF22" s="15" t="s">
        <v>106</v>
      </c>
      <c r="DG22" s="15" t="s">
        <v>107</v>
      </c>
      <c r="DH22" s="15" t="s">
        <v>108</v>
      </c>
    </row>
    <row r="23" customFormat="false" ht="22.35" hidden="false" customHeight="false" outlineLevel="0" collapsed="false">
      <c r="B23" s="36" t="s">
        <v>214</v>
      </c>
      <c r="C23" s="37"/>
      <c r="D23" s="38"/>
      <c r="E23" s="24"/>
      <c r="F23" s="24"/>
      <c r="G23" s="24"/>
      <c r="H23" s="24"/>
      <c r="I23" s="39"/>
      <c r="J23" s="39"/>
      <c r="L23" s="42" t="s">
        <v>212</v>
      </c>
      <c r="M23" s="43" t="str">
        <f aca="false">IF($U$4=0,"",IF($U$57=1,"✓ erfüllt","✗ nicht erfüllt"))</f>
        <v/>
      </c>
      <c r="N23" s="36"/>
      <c r="T23" s="15" t="s">
        <v>210</v>
      </c>
      <c r="U23" s="15" t="n">
        <f aca="false">SUM(BV6,BV7,BV8,BV9,BV26)</f>
        <v>4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IF(Y23=1,IF(ISNUMBER(E23),1,0),IF(AH23="",0,IF(IF($U$36=1,COUNTIF($AH$6:$AK$24,"&gt;"&amp;AH23),COUNTIF($AM$6:$AP$24,"&gt;"&amp;AH23))+COUNTIF($AH$6:$AK$22,AH23)+1&lt;=$U$46,1,0)))</f>
        <v>0</v>
      </c>
      <c r="AS23" s="15" t="n">
        <f aca="false">IF(Y23=1,IF(ISNUMBER(F23),1,0),IF(AI23="",0,IF(IF($U$36=1,COUNTIF($AH$6:$AK$24,"&gt;"&amp;AI23),COUNTIF($AM$6:$AP$24,"&gt;"&amp;AI23))+COUNTIF($AH$6:$AK$22,AI23)+COUNTIF($AH23:AH23,AI23)+1&lt;=$U$46,1,0)))</f>
        <v>0</v>
      </c>
      <c r="AT23" s="15" t="n">
        <f aca="false">IF(Y23=1,IF(ISNUMBER(G23),1,0),IF(AJ23="",0,IF(IF($U$36=1,COUNTIF($AH$6:$AK$24,"&gt;"&amp;AJ23),COUNTIF($AM$6:$AP$24,"&gt;"&amp;AJ23))+COUNTIF($AH$6:$AK$22,AJ23)+COUNTIF($AH23:AI23,AJ23)+1&lt;=$U$46,1,0)))</f>
        <v>0</v>
      </c>
      <c r="AU23" s="15" t="n">
        <f aca="false">IF(Y23=1,IF(ISNUMBER(H23),1,0),IF(AK23="",0,IF(IF($U$36=1,COUNTIF($AH$6:$AK$24,"&gt;"&amp;AK23),COUNTIF($AM$6:$AP$24,"&gt;"&amp;AK23))+COUNTIF($AH$6:$AK$22,AK23)+COUNTIF($AH23:AJ23,AK23)+1&lt;=$U$46,1,0)))</f>
        <v>0</v>
      </c>
      <c r="BZ23" s="15" t="n">
        <f aca="false">IFERROR(LARGE($AH$6:$AK$24,22),0)</f>
        <v>0</v>
      </c>
      <c r="CA23" s="15" t="n">
        <f aca="false">CA22+BZ23</f>
        <v>0</v>
      </c>
      <c r="CB23" s="15" t="n">
        <f aca="false">IFERROR(LARGE($AM$6:$AP$24,22),0)</f>
        <v>0</v>
      </c>
      <c r="CC23" s="15" t="n">
        <f aca="false">CC22+CB23</f>
        <v>0</v>
      </c>
      <c r="CE23" s="15" t="n">
        <f aca="false">35</f>
        <v>35</v>
      </c>
      <c r="CF23" s="15" t="n">
        <f aca="false">CE23-$V$5-$V$6-0</f>
        <v>19</v>
      </c>
      <c r="CG23" s="15" t="n">
        <f aca="false">MAX(0,CF23)</f>
        <v>19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19</v>
      </c>
      <c r="CK23" s="15" t="n">
        <f aca="false">$V$5+CH23+CJ23</f>
        <v>35</v>
      </c>
      <c r="CL23" s="15" t="n">
        <f aca="false">2*BE6+2*BF6+2*BE7+2*BF7</f>
        <v>112</v>
      </c>
      <c r="CM23" s="15" t="n">
        <f aca="false">2*BG6+2*BH6+2*BG7+2*BH7+1*BG8+1*BH8+1*BG9+1*BH9+SUM($AE$11:$AE$24)</f>
        <v>24</v>
      </c>
      <c r="CN23" s="15" t="n">
        <f aca="false">IF(CH23=0,0,INDEX($CC$2:$CC$57,CH23))</f>
        <v>0</v>
      </c>
      <c r="CO23" s="15" t="n">
        <f aca="false">CL23+$V$11+CN23+CJ23*$U$2</f>
        <v>301</v>
      </c>
      <c r="CP23" s="15" t="n">
        <f aca="false">CM23+CH23+CJ23</f>
        <v>43</v>
      </c>
      <c r="CQ23" s="15" t="n">
        <f aca="false">IF(CP23&gt;0,MIN(600,INT((CO23/CP23*40)+0.5+0.000000001)),0)</f>
        <v>280</v>
      </c>
      <c r="CR23" s="15" t="n">
        <f aca="false">$V$9+CT23</f>
        <v>0</v>
      </c>
      <c r="CS23" s="15" t="n">
        <f aca="false">IF(CK23&lt;35,7,IF(CK23&gt;40,8,CHOOSE(CK23-34,7,7,7,8,8,8)))</f>
        <v>7</v>
      </c>
      <c r="CT23" s="15" t="n">
        <f aca="false">$V$10+MAX(0,CH23-$V$8)+CJ23*IF($U$2&lt;5,1,0)</f>
        <v>0</v>
      </c>
      <c r="CU23" s="15" t="n">
        <f aca="false">$V$11+CN23+CJ23*$U$2</f>
        <v>189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IF($V$9&lt;=3,1,0)</f>
        <v>1</v>
      </c>
      <c r="CY23" s="15" t="n">
        <f aca="false">1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1028065</v>
      </c>
    </row>
    <row r="24" customFormat="false" ht="15" hidden="false" customHeight="false" outlineLevel="0" collapsed="false">
      <c r="B24" s="36" t="s">
        <v>217</v>
      </c>
      <c r="C24" s="37"/>
      <c r="D24" s="38"/>
      <c r="E24" s="24"/>
      <c r="F24" s="24"/>
      <c r="G24" s="24"/>
      <c r="H24" s="24"/>
      <c r="I24" s="39"/>
      <c r="J24" s="39"/>
      <c r="L24" s="42" t="s">
        <v>215</v>
      </c>
      <c r="M24" s="43" t="str">
        <f aca="false">IF($U$4=0,"",IF($U$62=1,"✓ erfüllt","✗ nicht erfüllt"))</f>
        <v/>
      </c>
      <c r="N24" s="36" t="str">
        <f aca="false">IF($U$4=0,"",$U$60&amp;" Punkte")</f>
        <v/>
      </c>
      <c r="T24" s="15" t="s">
        <v>213</v>
      </c>
      <c r="U24" s="15" t="n">
        <f aca="false">BV6+BV7</f>
        <v>2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IF(Y24=1,IF(ISNUMBER(E24),1,0),IF(AH24="",0,IF(IF($U$36=1,COUNTIF($AH$6:$AK$24,"&gt;"&amp;AH24),COUNTIF($AM$6:$AP$24,"&gt;"&amp;AH24))+COUNTIF($AH$6:$AK$23,AH24)+1&lt;=$U$46,1,0)))</f>
        <v>0</v>
      </c>
      <c r="AS24" s="15" t="n">
        <f aca="false">IF(Y24=1,IF(ISNUMBER(F24),1,0),IF(AI24="",0,IF(IF($U$36=1,COUNTIF($AH$6:$AK$24,"&gt;"&amp;AI24),COUNTIF($AM$6:$AP$24,"&gt;"&amp;AI24))+COUNTIF($AH$6:$AK$23,AI24)+COUNTIF($AH24:AH24,AI24)+1&lt;=$U$46,1,0)))</f>
        <v>0</v>
      </c>
      <c r="AT24" s="15" t="n">
        <f aca="false">IF(Y24=1,IF(ISNUMBER(G24),1,0),IF(AJ24="",0,IF(IF($U$36=1,COUNTIF($AH$6:$AK$24,"&gt;"&amp;AJ24),COUNTIF($AM$6:$AP$24,"&gt;"&amp;AJ24))+COUNTIF($AH$6:$AK$23,AJ24)+COUNTIF($AH24:AI24,AJ24)+1&lt;=$U$46,1,0)))</f>
        <v>0</v>
      </c>
      <c r="AU24" s="15" t="n">
        <f aca="false">IF(Y24=1,IF(ISNUMBER(H24),1,0),IF(AK24="",0,IF(IF($U$36=1,COUNTIF($AH$6:$AK$24,"&gt;"&amp;AK24),COUNTIF($AM$6:$AP$24,"&gt;"&amp;AK24))+COUNTIF($AH$6:$AK$23,AK24)+COUNTIF($AH24:AJ24,AK24)+1&lt;=$U$46,1,0)))</f>
        <v>0</v>
      </c>
      <c r="BZ24" s="15" t="n">
        <f aca="false">IFERROR(LARGE($AH$6:$AK$24,23),0)</f>
        <v>0</v>
      </c>
      <c r="CA24" s="15" t="n">
        <f aca="false">CA23+BZ24</f>
        <v>0</v>
      </c>
      <c r="CB24" s="15" t="n">
        <f aca="false">IFERROR(LARGE($AM$6:$AP$24,23),0)</f>
        <v>0</v>
      </c>
      <c r="CC24" s="15" t="n">
        <f aca="false">CC23+CB24</f>
        <v>0</v>
      </c>
      <c r="CE24" s="15" t="n">
        <f aca="false">36</f>
        <v>36</v>
      </c>
      <c r="CF24" s="15" t="n">
        <f aca="false">CE24-$V$5-$V$6-0</f>
        <v>20</v>
      </c>
      <c r="CG24" s="15" t="n">
        <f aca="false">MAX(0,CF24)</f>
        <v>20</v>
      </c>
      <c r="CH24" s="15" t="n">
        <f aca="false">MIN(CG24,$V$7)</f>
        <v>0</v>
      </c>
      <c r="CI24" s="15" t="n">
        <f aca="false">0</f>
        <v>0</v>
      </c>
      <c r="CJ24" s="15" t="n">
        <f aca="false">CG24-CH24</f>
        <v>20</v>
      </c>
      <c r="CK24" s="15" t="n">
        <f aca="false">$V$5+CH24+CJ24</f>
        <v>36</v>
      </c>
      <c r="CL24" s="15" t="n">
        <f aca="false">2*BE6+2*BF6+2*BE7+2*BF7</f>
        <v>112</v>
      </c>
      <c r="CM24" s="15" t="n">
        <f aca="false">2*BG6+2*BH6+2*BG7+2*BH7+1*BG8+1*BH8+1*BG9+1*BH9+SUM($AE$11:$AE$24)</f>
        <v>24</v>
      </c>
      <c r="CN24" s="15" t="n">
        <f aca="false">IF(CH24=0,0,INDEX($CC$2:$CC$57,CH24))</f>
        <v>0</v>
      </c>
      <c r="CO24" s="15" t="n">
        <f aca="false">CL24+$V$11+CN24+CJ24*$U$2</f>
        <v>308</v>
      </c>
      <c r="CP24" s="15" t="n">
        <f aca="false">CM24+CH24+CJ24</f>
        <v>44</v>
      </c>
      <c r="CQ24" s="15" t="n">
        <f aca="false">IF(CP24&gt;0,MIN(600,INT((CO24/CP24*40)+0.5+0.000000001)),0)</f>
        <v>280</v>
      </c>
      <c r="CR24" s="15" t="n">
        <f aca="false">$V$9+CT24</f>
        <v>0</v>
      </c>
      <c r="CS24" s="15" t="n">
        <f aca="false">IF(CK24&lt;35,7,IF(CK24&gt;40,8,CHOOSE(CK24-34,7,7,7,8,8,8)))</f>
        <v>7</v>
      </c>
      <c r="CT24" s="15" t="n">
        <f aca="false">$V$10+MAX(0,CH24-$V$8)+CJ24*IF($U$2&lt;5,1,0)</f>
        <v>0</v>
      </c>
      <c r="CU24" s="15" t="n">
        <f aca="false">$V$11+CN24+CJ24*$U$2</f>
        <v>196</v>
      </c>
      <c r="CV24" s="15" t="n">
        <f aca="false">IF(CQ24&gt;=200,1,0)</f>
        <v>1</v>
      </c>
      <c r="CW24" s="15" t="n">
        <f aca="false">IF(CR24&lt;=CS24,1,0)</f>
        <v>1</v>
      </c>
      <c r="CX24" s="15" t="n">
        <f aca="false">IF($V$9&lt;=3,1,0)</f>
        <v>1</v>
      </c>
      <c r="CY24" s="15" t="n">
        <f aca="false">1</f>
        <v>1</v>
      </c>
      <c r="CZ24" s="15" t="n">
        <f aca="false">1</f>
        <v>1</v>
      </c>
      <c r="DA24" s="15" t="n">
        <f aca="false">1</f>
        <v>1</v>
      </c>
      <c r="DB24" s="15" t="n">
        <f aca="false">IF($U$12=0,1,0)</f>
        <v>1</v>
      </c>
      <c r="DC24" s="15" t="n">
        <f aca="false">1</f>
        <v>1</v>
      </c>
      <c r="DD24" s="15" t="n">
        <f aca="false">1</f>
        <v>1</v>
      </c>
      <c r="DE24" s="15" t="n">
        <f aca="false">IF(CF24&lt;0,0,1)</f>
        <v>1</v>
      </c>
      <c r="DF24" s="15" t="n">
        <f aca="false">IF(CV24*CW24*CX24*CY24*CZ24*DA24*DB24*DC24*DD24*DE24=1,1,0)</f>
        <v>1</v>
      </c>
      <c r="DG24" s="15" t="n">
        <f aca="false">$V$6+CI24</f>
        <v>0</v>
      </c>
      <c r="DH24" s="15" t="n">
        <f aca="false">DF24*1000000+CQ24*100+(100-CK24)</f>
        <v>1028064</v>
      </c>
    </row>
    <row r="25" customFormat="false" ht="22.35" hidden="false" customHeight="false" outlineLevel="0" collapsed="false">
      <c r="L25" s="42" t="str">
        <f aca="false">"In mindestens "&amp;$U$27&amp;" Prüfungen mindestens 5 Punkte (einfach), davon eine im 1./2. Prüfungsfach"</f>
        <v>In mindestens 2 Prüfungen mindestens 5 Punkte (einfach), davon eine im 1./2. Prüfungsfach</v>
      </c>
      <c r="M25" s="43" t="str">
        <f aca="false">IF($U$4=0,"",IF($U$63=1,"✓ erfüllt","✗ nicht erfüllt"))</f>
        <v/>
      </c>
      <c r="N25" s="36" t="str">
        <f aca="false">IF($U$4=0,"",$U$61&amp;" Prüfungen")</f>
        <v/>
      </c>
      <c r="T25" s="15" t="s">
        <v>216</v>
      </c>
      <c r="U25" s="15" t="n">
        <f aca="false">BW6+BW7+BW8+BW9+BW26</f>
        <v>0</v>
      </c>
      <c r="BZ25" s="15" t="n">
        <f aca="false">IFERROR(LARGE($AH$6:$AK$24,24),0)</f>
        <v>0</v>
      </c>
      <c r="CA25" s="15" t="n">
        <f aca="false">CA24+BZ25</f>
        <v>0</v>
      </c>
      <c r="CB25" s="15" t="n">
        <f aca="false">IFERROR(LARGE($AM$6:$AP$24,24),0)</f>
        <v>0</v>
      </c>
      <c r="CC25" s="15" t="n">
        <f aca="false">CC24+CB25</f>
        <v>0</v>
      </c>
      <c r="CE25" s="15" t="n">
        <f aca="false">37</f>
        <v>37</v>
      </c>
      <c r="CF25" s="15" t="n">
        <f aca="false">CE25-$V$5-$V$6-0</f>
        <v>21</v>
      </c>
      <c r="CG25" s="15" t="n">
        <f aca="false">MAX(0,CF25)</f>
        <v>21</v>
      </c>
      <c r="CH25" s="15" t="n">
        <f aca="false">MIN(CG25,$V$7)</f>
        <v>0</v>
      </c>
      <c r="CI25" s="15" t="n">
        <f aca="false">0</f>
        <v>0</v>
      </c>
      <c r="CJ25" s="15" t="n">
        <f aca="false">CG25-CH25</f>
        <v>21</v>
      </c>
      <c r="CK25" s="15" t="n">
        <f aca="false">$V$5+CH25+CJ25</f>
        <v>37</v>
      </c>
      <c r="CL25" s="15" t="n">
        <f aca="false">2*BE6+2*BF6+2*BE7+2*BF7</f>
        <v>112</v>
      </c>
      <c r="CM25" s="15" t="n">
        <f aca="false">2*BG6+2*BH6+2*BG7+2*BH7+1*BG8+1*BH8+1*BG9+1*BH9+SUM($AE$11:$AE$24)</f>
        <v>24</v>
      </c>
      <c r="CN25" s="15" t="n">
        <f aca="false">IF(CH25=0,0,INDEX($CC$2:$CC$57,CH25))</f>
        <v>0</v>
      </c>
      <c r="CO25" s="15" t="n">
        <f aca="false">CL25+$V$11+CN25+CJ25*$U$2</f>
        <v>315</v>
      </c>
      <c r="CP25" s="15" t="n">
        <f aca="false">CM25+CH25+CJ25</f>
        <v>45</v>
      </c>
      <c r="CQ25" s="15" t="n">
        <f aca="false">IF(CP25&gt;0,MIN(600,INT((CO25/CP25*40)+0.5+0.000000001)),0)</f>
        <v>280</v>
      </c>
      <c r="CR25" s="15" t="n">
        <f aca="false">$V$9+CT25</f>
        <v>0</v>
      </c>
      <c r="CS25" s="15" t="n">
        <f aca="false">IF(CK25&lt;35,7,IF(CK25&gt;40,8,CHOOSE(CK25-34,7,7,7,8,8,8)))</f>
        <v>7</v>
      </c>
      <c r="CT25" s="15" t="n">
        <f aca="false">$V$10+MAX(0,CH25-$V$8)+CJ25*IF($U$2&lt;5,1,0)</f>
        <v>0</v>
      </c>
      <c r="CU25" s="15" t="n">
        <f aca="false">$V$11+CN25+CJ25*$U$2</f>
        <v>203</v>
      </c>
      <c r="CV25" s="15" t="n">
        <f aca="false">IF(CQ25&gt;=200,1,0)</f>
        <v>1</v>
      </c>
      <c r="CW25" s="15" t="n">
        <f aca="false">IF(CR25&lt;=CS25,1,0)</f>
        <v>1</v>
      </c>
      <c r="CX25" s="15" t="n">
        <f aca="false">IF($V$9&lt;=3,1,0)</f>
        <v>1</v>
      </c>
      <c r="CY25" s="15" t="n">
        <f aca="false">1</f>
        <v>1</v>
      </c>
      <c r="CZ25" s="15" t="n">
        <f aca="false">1</f>
        <v>1</v>
      </c>
      <c r="DA25" s="15" t="n">
        <f aca="false">1</f>
        <v>1</v>
      </c>
      <c r="DB25" s="15" t="n">
        <f aca="false">IF($U$12=0,1,0)</f>
        <v>1</v>
      </c>
      <c r="DC25" s="15" t="n">
        <f aca="false">1</f>
        <v>1</v>
      </c>
      <c r="DD25" s="15" t="n">
        <f aca="false">1</f>
        <v>1</v>
      </c>
      <c r="DE25" s="15" t="n">
        <f aca="false">IF(CF25&lt;0,0,1)</f>
        <v>1</v>
      </c>
      <c r="DF25" s="15" t="n">
        <f aca="false">IF(CV25*CW25*CX25*CY25*CZ25*DA25*DB25*DC25*DD25*DE25=1,1,0)</f>
        <v>1</v>
      </c>
      <c r="DG25" s="15" t="n">
        <f aca="false">$V$6+CI25</f>
        <v>0</v>
      </c>
      <c r="DH25" s="15" t="n">
        <f aca="false">DF25*1000000+CQ25*100+(100-CK25)</f>
        <v>1028063</v>
      </c>
    </row>
    <row r="26" customFormat="false" ht="30" hidden="false" customHeight="true" outlineLevel="0" collapsed="false">
      <c r="B26" s="21" t="s">
        <v>338</v>
      </c>
      <c r="C26" s="37"/>
      <c r="I26" s="25"/>
      <c r="J26" s="54" t="s">
        <v>339</v>
      </c>
      <c r="L26" s="42" t="s">
        <v>221</v>
      </c>
      <c r="M26" s="43" t="str">
        <f aca="false">IF($U$4=0,"",IF($U$66=1,"✓ erfüllt","✗ nicht erfüllt"))</f>
        <v/>
      </c>
      <c r="N26" s="36" t="str">
        <f aca="false">IF($U$4=0,"",$U$65&amp;" Punkte")</f>
        <v/>
      </c>
      <c r="T26" s="15" t="s">
        <v>218</v>
      </c>
      <c r="U26" s="15" t="n">
        <f aca="false">BX6+BX7+BX8+BX9+BX26</f>
        <v>0</v>
      </c>
      <c r="BN26" s="15" t="str">
        <f aca="false">IF(ISNUMBER($I$26),$I$26,"")</f>
        <v/>
      </c>
      <c r="BO26" s="15" t="str">
        <f aca="false">IF(BN26="","",BN26*$U$16)</f>
        <v/>
      </c>
      <c r="BP26" s="15" t="n">
        <f aca="false">IF(BO26="",0,IF(BO26&gt;=5*$U$16-0.000000001,1,0))</f>
        <v>0</v>
      </c>
      <c r="BQ26" s="15" t="n">
        <f aca="false">IF(BO26="",0,IF(BO26&lt;0.000000001,1,0))</f>
        <v>0</v>
      </c>
      <c r="BR26" s="15" t="n">
        <f aca="false">0</f>
        <v>0</v>
      </c>
      <c r="BT26" s="15" t="str">
        <f aca="false">IF(ISNUMBER($I$26),$I$26,"")</f>
        <v/>
      </c>
      <c r="BU26" s="15" t="str">
        <f aca="false">IF(BT26="","",BT26*$U$16)</f>
        <v/>
      </c>
      <c r="BV26" s="15" t="n">
        <f aca="false">IF(BU26="",0,IF(BU26&gt;=5*$U$16-0.000000001,1,0))</f>
        <v>0</v>
      </c>
      <c r="BW26" s="15" t="n">
        <f aca="false">IF(BU26="",0,IF(BU26&lt;0.000000001,1,0))</f>
        <v>0</v>
      </c>
      <c r="BX26" s="15" t="n">
        <f aca="false">0</f>
        <v>0</v>
      </c>
      <c r="BZ26" s="15" t="n">
        <f aca="false">IFERROR(LARGE($AH$6:$AK$24,25),0)</f>
        <v>0</v>
      </c>
      <c r="CA26" s="15" t="n">
        <f aca="false">CA25+BZ26</f>
        <v>0</v>
      </c>
      <c r="CB26" s="15" t="n">
        <f aca="false">IFERROR(LARGE($AM$6:$AP$24,25),0)</f>
        <v>0</v>
      </c>
      <c r="CC26" s="15" t="n">
        <f aca="false">CC25+CB26</f>
        <v>0</v>
      </c>
      <c r="CE26" s="15" t="n">
        <f aca="false">38</f>
        <v>38</v>
      </c>
      <c r="CF26" s="15" t="n">
        <f aca="false">CE26-$V$5-$V$6-0</f>
        <v>22</v>
      </c>
      <c r="CG26" s="15" t="n">
        <f aca="false">MAX(0,CF26)</f>
        <v>22</v>
      </c>
      <c r="CH26" s="15" t="n">
        <f aca="false">MIN(CG26,$V$7)</f>
        <v>0</v>
      </c>
      <c r="CI26" s="15" t="n">
        <f aca="false">0</f>
        <v>0</v>
      </c>
      <c r="CJ26" s="15" t="n">
        <f aca="false">CG26-CH26</f>
        <v>22</v>
      </c>
      <c r="CK26" s="15" t="n">
        <f aca="false">$V$5+CH26+CJ26</f>
        <v>38</v>
      </c>
      <c r="CL26" s="15" t="n">
        <f aca="false">2*BE6+2*BF6+2*BE7+2*BF7</f>
        <v>112</v>
      </c>
      <c r="CM26" s="15" t="n">
        <f aca="false">2*BG6+2*BH6+2*BG7+2*BH7+1*BG8+1*BH8+1*BG9+1*BH9+SUM($AE$11:$AE$24)</f>
        <v>24</v>
      </c>
      <c r="CN26" s="15" t="n">
        <f aca="false">IF(CH26=0,0,INDEX($CC$2:$CC$57,CH26))</f>
        <v>0</v>
      </c>
      <c r="CO26" s="15" t="n">
        <f aca="false">CL26+$V$11+CN26+CJ26*$U$2</f>
        <v>322</v>
      </c>
      <c r="CP26" s="15" t="n">
        <f aca="false">CM26+CH26+CJ26</f>
        <v>46</v>
      </c>
      <c r="CQ26" s="15" t="n">
        <f aca="false">IF(CP26&gt;0,MIN(600,INT((CO26/CP26*40)+0.5+0.000000001)),0)</f>
        <v>280</v>
      </c>
      <c r="CR26" s="15" t="n">
        <f aca="false">$V$9+CT26</f>
        <v>0</v>
      </c>
      <c r="CS26" s="15" t="n">
        <f aca="false">IF(CK26&lt;35,7,IF(CK26&gt;40,8,CHOOSE(CK26-34,7,7,7,8,8,8)))</f>
        <v>8</v>
      </c>
      <c r="CT26" s="15" t="n">
        <f aca="false">$V$10+MAX(0,CH26-$V$8)+CJ26*IF($U$2&lt;5,1,0)</f>
        <v>0</v>
      </c>
      <c r="CU26" s="15" t="n">
        <f aca="false">$V$11+CN26+CJ26*$U$2</f>
        <v>210</v>
      </c>
      <c r="CV26" s="15" t="n">
        <f aca="false">IF(CQ26&gt;=200,1,0)</f>
        <v>1</v>
      </c>
      <c r="CW26" s="15" t="n">
        <f aca="false">IF(CR26&lt;=CS26,1,0)</f>
        <v>1</v>
      </c>
      <c r="CX26" s="15" t="n">
        <f aca="false">IF($V$9&lt;=3,1,0)</f>
        <v>1</v>
      </c>
      <c r="CY26" s="15" t="n">
        <f aca="false">1</f>
        <v>1</v>
      </c>
      <c r="CZ26" s="15" t="n">
        <f aca="false">1</f>
        <v>1</v>
      </c>
      <c r="DA26" s="15" t="n">
        <f aca="false">1</f>
        <v>1</v>
      </c>
      <c r="DB26" s="15" t="n">
        <f aca="false">IF($U$12=0,1,0)</f>
        <v>1</v>
      </c>
      <c r="DC26" s="15" t="n">
        <f aca="false">1</f>
        <v>1</v>
      </c>
      <c r="DD26" s="15" t="n">
        <f aca="false">1</f>
        <v>1</v>
      </c>
      <c r="DE26" s="15" t="n">
        <f aca="false">IF(CF26&lt;0,0,1)</f>
        <v>1</v>
      </c>
      <c r="DF26" s="15" t="n">
        <f aca="false">IF(CV26*CW26*CX26*CY26*CZ26*DA26*DB26*DC26*DD26*DE26=1,1,0)</f>
        <v>1</v>
      </c>
      <c r="DG26" s="15" t="n">
        <f aca="false">$V$6+CI26</f>
        <v>0</v>
      </c>
      <c r="DH26" s="15" t="n">
        <f aca="false">DF26*1000000+CQ26*100+(100-CK26)</f>
        <v>1028062</v>
      </c>
    </row>
    <row r="27" customFormat="false" ht="15" hidden="false" customHeight="false" outlineLevel="0" collapsed="false">
      <c r="T27" s="15" t="s">
        <v>220</v>
      </c>
      <c r="U27" s="15" t="n">
        <f aca="false">2</f>
        <v>2</v>
      </c>
      <c r="BZ27" s="15" t="n">
        <f aca="false">IFERROR(LARGE($AH$6:$AK$24,26),0)</f>
        <v>0</v>
      </c>
      <c r="CA27" s="15" t="n">
        <f aca="false">CA26+BZ27</f>
        <v>0</v>
      </c>
      <c r="CB27" s="15" t="n">
        <f aca="false">IFERROR(LARGE($AM$6:$AP$24,26),0)</f>
        <v>0</v>
      </c>
      <c r="CC27" s="15" t="n">
        <f aca="false">CC26+CB27</f>
        <v>0</v>
      </c>
      <c r="CE27" s="15" t="n">
        <f aca="false">39</f>
        <v>39</v>
      </c>
      <c r="CF27" s="15" t="n">
        <f aca="false">CE27-$V$5-$V$6-0</f>
        <v>23</v>
      </c>
      <c r="CG27" s="15" t="n">
        <f aca="false">MAX(0,CF27)</f>
        <v>23</v>
      </c>
      <c r="CH27" s="15" t="n">
        <f aca="false">MIN(CG27,$V$7)</f>
        <v>0</v>
      </c>
      <c r="CI27" s="15" t="n">
        <f aca="false">0</f>
        <v>0</v>
      </c>
      <c r="CJ27" s="15" t="n">
        <f aca="false">CG27-CH27</f>
        <v>23</v>
      </c>
      <c r="CK27" s="15" t="n">
        <f aca="false">$V$5+CH27+CJ27</f>
        <v>39</v>
      </c>
      <c r="CL27" s="15" t="n">
        <f aca="false">2*BE6+2*BF6+2*BE7+2*BF7</f>
        <v>112</v>
      </c>
      <c r="CM27" s="15" t="n">
        <f aca="false">2*BG6+2*BH6+2*BG7+2*BH7+1*BG8+1*BH8+1*BG9+1*BH9+SUM($AE$11:$AE$24)</f>
        <v>24</v>
      </c>
      <c r="CN27" s="15" t="n">
        <f aca="false">IF(CH27=0,0,INDEX($CC$2:$CC$57,CH27))</f>
        <v>0</v>
      </c>
      <c r="CO27" s="15" t="n">
        <f aca="false">CL27+$V$11+CN27+CJ27*$U$2</f>
        <v>329</v>
      </c>
      <c r="CP27" s="15" t="n">
        <f aca="false">CM27+CH27+CJ27</f>
        <v>47</v>
      </c>
      <c r="CQ27" s="15" t="n">
        <f aca="false">IF(CP27&gt;0,MIN(600,INT((CO27/CP27*40)+0.5+0.000000001)),0)</f>
        <v>280</v>
      </c>
      <c r="CR27" s="15" t="n">
        <f aca="false">$V$9+CT27</f>
        <v>0</v>
      </c>
      <c r="CS27" s="15" t="n">
        <f aca="false">IF(CK27&lt;35,7,IF(CK27&gt;40,8,CHOOSE(CK27-34,7,7,7,8,8,8)))</f>
        <v>8</v>
      </c>
      <c r="CT27" s="15" t="n">
        <f aca="false">$V$10+MAX(0,CH27-$V$8)+CJ27*IF($U$2&lt;5,1,0)</f>
        <v>0</v>
      </c>
      <c r="CU27" s="15" t="n">
        <f aca="false">$V$11+CN27+CJ27*$U$2</f>
        <v>217</v>
      </c>
      <c r="CV27" s="15" t="n">
        <f aca="false">IF(CQ27&gt;=200,1,0)</f>
        <v>1</v>
      </c>
      <c r="CW27" s="15" t="n">
        <f aca="false">IF(CR27&lt;=CS27,1,0)</f>
        <v>1</v>
      </c>
      <c r="CX27" s="15" t="n">
        <f aca="false">IF($V$9&lt;=3,1,0)</f>
        <v>1</v>
      </c>
      <c r="CY27" s="15" t="n">
        <f aca="false">1</f>
        <v>1</v>
      </c>
      <c r="CZ27" s="15" t="n">
        <f aca="false">1</f>
        <v>1</v>
      </c>
      <c r="DA27" s="15" t="n">
        <f aca="false">1</f>
        <v>1</v>
      </c>
      <c r="DB27" s="15" t="n">
        <f aca="false">IF($U$12=0,1,0)</f>
        <v>1</v>
      </c>
      <c r="DC27" s="15" t="n">
        <f aca="false">1</f>
        <v>1</v>
      </c>
      <c r="DD27" s="15" t="n">
        <f aca="false">1</f>
        <v>1</v>
      </c>
      <c r="DE27" s="15" t="n">
        <f aca="false">IF(CF27&lt;0,0,1)</f>
        <v>1</v>
      </c>
      <c r="DF27" s="15" t="n">
        <f aca="false">IF(CV27*CW27*CX27*CY27*CZ27*DA27*DB27*DC27*DD27*DE27=1,1,0)</f>
        <v>1</v>
      </c>
      <c r="DG27" s="15" t="n">
        <f aca="false">$V$6+CI27</f>
        <v>0</v>
      </c>
      <c r="DH27" s="15" t="n">
        <f aca="false">DF27*1000000+CQ27*100+(100-CK27)</f>
        <v>1028061</v>
      </c>
    </row>
    <row r="28" customFormat="false" ht="15" hidden="false" customHeight="false" outlineLevel="0" collapsed="false">
      <c r="B28" s="5" t="s">
        <v>415</v>
      </c>
      <c r="L28" s="44" t="s">
        <v>226</v>
      </c>
      <c r="T28" s="15" t="s">
        <v>222</v>
      </c>
      <c r="U28" s="15" t="n">
        <f aca="false">IF(ISNUMBER($I$6),0,1)+IF(ISNUMBER($I$7),0,1)+IF(ISNUMBER($I$8),0,1)+IF(ISNUMBER($I$9),0,1)</f>
        <v>4</v>
      </c>
      <c r="BZ28" s="15" t="n">
        <f aca="false">IFERROR(LARGE($AH$6:$AK$24,27),0)</f>
        <v>0</v>
      </c>
      <c r="CA28" s="15" t="n">
        <f aca="false">CA27+BZ28</f>
        <v>0</v>
      </c>
      <c r="CB28" s="15" t="n">
        <f aca="false">IFERROR(LARGE($AM$6:$AP$24,27),0)</f>
        <v>0</v>
      </c>
      <c r="CC28" s="15" t="n">
        <f aca="false">CC27+CB28</f>
        <v>0</v>
      </c>
      <c r="CE28" s="15" t="n">
        <f aca="false">40</f>
        <v>40</v>
      </c>
      <c r="CF28" s="15" t="n">
        <f aca="false">CE28-$V$5-$V$6-0</f>
        <v>24</v>
      </c>
      <c r="CG28" s="15" t="n">
        <f aca="false">MAX(0,CF28)</f>
        <v>24</v>
      </c>
      <c r="CH28" s="15" t="n">
        <f aca="false">MIN(CG28,$V$7)</f>
        <v>0</v>
      </c>
      <c r="CI28" s="15" t="n">
        <f aca="false">0</f>
        <v>0</v>
      </c>
      <c r="CJ28" s="15" t="n">
        <f aca="false">CG28-CH28</f>
        <v>24</v>
      </c>
      <c r="CK28" s="15" t="n">
        <f aca="false">$V$5+CH28+CJ28</f>
        <v>40</v>
      </c>
      <c r="CL28" s="15" t="n">
        <f aca="false">2*BE6+2*BF6+2*BE7+2*BF7</f>
        <v>112</v>
      </c>
      <c r="CM28" s="15" t="n">
        <f aca="false">2*BG6+2*BH6+2*BG7+2*BH7+1*BG8+1*BH8+1*BG9+1*BH9+SUM($AE$11:$AE$24)</f>
        <v>24</v>
      </c>
      <c r="CN28" s="15" t="n">
        <f aca="false">IF(CH28=0,0,INDEX($CC$2:$CC$57,CH28))</f>
        <v>0</v>
      </c>
      <c r="CO28" s="15" t="n">
        <f aca="false">CL28+$V$11+CN28+CJ28*$U$2</f>
        <v>336</v>
      </c>
      <c r="CP28" s="15" t="n">
        <f aca="false">CM28+CH28+CJ28</f>
        <v>48</v>
      </c>
      <c r="CQ28" s="15" t="n">
        <f aca="false">IF(CP28&gt;0,MIN(600,INT((CO28/CP28*40)+0.5+0.000000001)),0)</f>
        <v>280</v>
      </c>
      <c r="CR28" s="15" t="n">
        <f aca="false">$V$9+CT28</f>
        <v>0</v>
      </c>
      <c r="CS28" s="15" t="n">
        <f aca="false">IF(CK28&lt;35,7,IF(CK28&gt;40,8,CHOOSE(CK28-34,7,7,7,8,8,8)))</f>
        <v>8</v>
      </c>
      <c r="CT28" s="15" t="n">
        <f aca="false">$V$10+MAX(0,CH28-$V$8)+CJ28*IF($U$2&lt;5,1,0)</f>
        <v>0</v>
      </c>
      <c r="CU28" s="15" t="n">
        <f aca="false">$V$11+CN28+CJ28*$U$2</f>
        <v>224</v>
      </c>
      <c r="CV28" s="15" t="n">
        <f aca="false">IF(CQ28&gt;=200,1,0)</f>
        <v>1</v>
      </c>
      <c r="CW28" s="15" t="n">
        <f aca="false">IF(CR28&lt;=CS28,1,0)</f>
        <v>1</v>
      </c>
      <c r="CX28" s="15" t="n">
        <f aca="false">IF($V$9&lt;=3,1,0)</f>
        <v>1</v>
      </c>
      <c r="CY28" s="15" t="n">
        <f aca="false">1</f>
        <v>1</v>
      </c>
      <c r="CZ28" s="15" t="n">
        <f aca="false">1</f>
        <v>1</v>
      </c>
      <c r="DA28" s="15" t="n">
        <f aca="false">1</f>
        <v>1</v>
      </c>
      <c r="DB28" s="15" t="n">
        <f aca="false">IF($U$12=0,1,0)</f>
        <v>1</v>
      </c>
      <c r="DC28" s="15" t="n">
        <f aca="false">1</f>
        <v>1</v>
      </c>
      <c r="DD28" s="15" t="n">
        <f aca="false">1</f>
        <v>1</v>
      </c>
      <c r="DE28" s="15" t="n">
        <f aca="false">IF(CF28&lt;0,0,1)</f>
        <v>1</v>
      </c>
      <c r="DF28" s="15" t="n">
        <f aca="false">IF(CV28*CW28*CX28*CY28*CZ28*DA28*DB28*DC28*DD28*DE28=1,1,0)</f>
        <v>1</v>
      </c>
      <c r="DG28" s="15" t="n">
        <f aca="false">$V$6+CI28</f>
        <v>0</v>
      </c>
      <c r="DH28" s="15" t="n">
        <f aca="false">DF28*1000000+CQ28*100+(100-CK28)</f>
        <v>1028060</v>
      </c>
    </row>
    <row r="29" customFormat="false" ht="15" hidden="false" customHeight="false" outlineLevel="0" collapsed="false">
      <c r="B29" s="12" t="s">
        <v>416</v>
      </c>
      <c r="L29" s="8" t="s">
        <v>229</v>
      </c>
      <c r="T29" s="15" t="s">
        <v>224</v>
      </c>
      <c r="U29" s="15" t="n">
        <f aca="false">IF($U$17&gt;=100,1,0)</f>
        <v>0</v>
      </c>
      <c r="BZ29" s="15" t="n">
        <f aca="false">IFERROR(LARGE($AH$6:$AK$24,28),0)</f>
        <v>0</v>
      </c>
      <c r="CA29" s="15" t="n">
        <f aca="false">CA28+BZ29</f>
        <v>0</v>
      </c>
      <c r="CB29" s="15" t="n">
        <f aca="false">IFERROR(LARGE($AM$6:$AP$24,28),0)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">
        <v>407</v>
      </c>
      <c r="L30" s="45" t="s">
        <v>232</v>
      </c>
      <c r="T30" s="15" t="s">
        <v>227</v>
      </c>
      <c r="U30" s="15" t="n">
        <f aca="false">IF(AND($U$18&gt;=$U$27,$U$19&gt;=1),1,0)</f>
        <v>0</v>
      </c>
      <c r="BZ30" s="15" t="n">
        <f aca="false">IFERROR(LARGE($AH$6:$AK$24,29),0)</f>
        <v>0</v>
      </c>
      <c r="CA30" s="15" t="n">
        <f aca="false">CA29+BZ30</f>
        <v>0</v>
      </c>
      <c r="CB30" s="15" t="n">
        <f aca="false">IFERROR(LARGE($AM$6:$AP$24,29),0)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417</v>
      </c>
      <c r="L31" s="46" t="s">
        <v>235</v>
      </c>
      <c r="T31" s="15" t="s">
        <v>233</v>
      </c>
      <c r="U31" s="15" t="n">
        <f aca="false">$U$29*$U$30</f>
        <v>0</v>
      </c>
      <c r="BZ31" s="15" t="n">
        <f aca="false">IFERROR(LARGE($AH$6:$AK$24,30),0)</f>
        <v>0</v>
      </c>
      <c r="CA31" s="15" t="n">
        <f aca="false">CA30+BZ31</f>
        <v>0</v>
      </c>
      <c r="CB31" s="15" t="n">
        <f aca="false">IFERROR(LARGE($AM$6:$AP$24,30),0)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418</v>
      </c>
      <c r="L32" s="47" t="s">
        <v>238</v>
      </c>
      <c r="T32" s="15" t="s">
        <v>236</v>
      </c>
      <c r="U32" s="15" t="n">
        <f aca="false">IF($U$22&gt;=100,1,0)</f>
        <v>1</v>
      </c>
      <c r="BZ32" s="15" t="n">
        <f aca="false">IFERROR(LARGE($AH$6:$AK$24,31),0)</f>
        <v>0</v>
      </c>
      <c r="CA32" s="15" t="n">
        <f aca="false">CA31+BZ32</f>
        <v>0</v>
      </c>
      <c r="CB32" s="15" t="n">
        <f aca="false">IFERROR(LARGE($AM$6:$AP$24,31),0)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330</v>
      </c>
      <c r="T33" s="15" t="s">
        <v>239</v>
      </c>
      <c r="U33" s="15" t="n">
        <f aca="false">IF(AND($U$23&gt;=$U$27,$U$24&gt;=1),1,0)</f>
        <v>1</v>
      </c>
      <c r="BZ33" s="15" t="n">
        <f aca="false">IFERROR(LARGE($AH$6:$AK$24,32),0)</f>
        <v>0</v>
      </c>
      <c r="CA33" s="15" t="n">
        <f aca="false">CA32+BZ33</f>
        <v>0</v>
      </c>
      <c r="CB33" s="15" t="n">
        <f aca="false">IFERROR(LARGE($AM$6:$AP$24,32),0)</f>
        <v>0</v>
      </c>
      <c r="CC33" s="15" t="n">
        <f aca="false">CC32+CB33</f>
        <v>0</v>
      </c>
    </row>
    <row r="34" customFormat="false" ht="15" hidden="false" customHeight="false" outlineLevel="0" collapsed="false">
      <c r="L34" s="48" t="s">
        <v>242</v>
      </c>
      <c r="T34" s="15" t="s">
        <v>243</v>
      </c>
      <c r="U34" s="15" t="n">
        <f aca="false">$U$32*$U$33</f>
        <v>1</v>
      </c>
      <c r="BZ34" s="15" t="n">
        <f aca="false">IFERROR(LARGE($AH$6:$AK$24,33),0)</f>
        <v>0</v>
      </c>
      <c r="CA34" s="15" t="n">
        <f aca="false">CA33+BZ34</f>
        <v>0</v>
      </c>
      <c r="CB34" s="15" t="n">
        <f aca="false">IFERROR(LARGE($AM$6:$AP$24,33),0)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8" t="s">
        <v>419</v>
      </c>
      <c r="L35" s="48" t="s">
        <v>245</v>
      </c>
      <c r="T35" s="15" t="s">
        <v>246</v>
      </c>
      <c r="U35" s="15" t="n">
        <f aca="false">INDEX($DG$3:$DG$8,$U$13)+$U$28</f>
        <v>39</v>
      </c>
      <c r="BZ35" s="15" t="n">
        <f aca="false">IFERROR(LARGE($AH$6:$AK$24,34),0)</f>
        <v>0</v>
      </c>
      <c r="CA35" s="15" t="n">
        <f aca="false">CA34+BZ35</f>
        <v>0</v>
      </c>
      <c r="CB35" s="15" t="n">
        <f aca="false">IFERROR(LARGE($AM$6:$AP$24,34),0)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49" t="s">
        <v>420</v>
      </c>
      <c r="T36" s="15" t="s">
        <v>247</v>
      </c>
      <c r="U36" s="15" t="n">
        <f aca="false">IF($U$35=0,1,0)</f>
        <v>0</v>
      </c>
      <c r="BZ36" s="15" t="n">
        <f aca="false">IFERROR(LARGE($AH$6:$AK$24,35),0)</f>
        <v>0</v>
      </c>
      <c r="CA36" s="15" t="n">
        <f aca="false">CA35+BZ36</f>
        <v>0</v>
      </c>
      <c r="CB36" s="15" t="n">
        <f aca="false">IFERROR(LARGE($AM$6:$AP$24,35),0)</f>
        <v>0</v>
      </c>
      <c r="CC36" s="15" t="n">
        <f aca="false">CC35+CB36</f>
        <v>0</v>
      </c>
    </row>
    <row r="37" customFormat="false" ht="15" hidden="false" customHeight="false" outlineLevel="0" collapsed="false">
      <c r="T37" s="15" t="s">
        <v>249</v>
      </c>
      <c r="U37" s="15" t="n">
        <f aca="false">IF($U$36=1,INDEX($CQ$3:$CQ$8,$U$13),INDEX($CQ$23:$CQ$28,$U$14))</f>
        <v>280</v>
      </c>
      <c r="BZ37" s="15" t="n">
        <f aca="false">IFERROR(LARGE($AH$6:$AK$24,36),0)</f>
        <v>0</v>
      </c>
      <c r="CA37" s="15" t="n">
        <f aca="false">CA36+BZ37</f>
        <v>0</v>
      </c>
      <c r="CB37" s="15" t="n">
        <f aca="false">IFERROR(LARGE($AM$6:$AP$24,36),0)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0" t="s">
        <v>421</v>
      </c>
      <c r="T38" s="15" t="s">
        <v>251</v>
      </c>
      <c r="U38" s="15" t="n">
        <f aca="false">IF($U$36=1,INDEX($CK$3:$CK$8,$U$13),INDEX($CK$23:$CK$28,$U$14))</f>
        <v>35</v>
      </c>
      <c r="BZ38" s="15" t="n">
        <f aca="false">IFERROR(LARGE($AH$6:$AK$24,37),0)</f>
        <v>0</v>
      </c>
      <c r="CA38" s="15" t="n">
        <f aca="false">CA37+BZ38</f>
        <v>0</v>
      </c>
      <c r="CB38" s="15" t="n">
        <f aca="false">IFERROR(LARGE($AM$6:$AP$24,37),0)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1" t="s">
        <v>250</v>
      </c>
      <c r="T39" s="15" t="s">
        <v>252</v>
      </c>
      <c r="U39" s="15" t="n">
        <f aca="false">IF($U$36=1,INDEX($CR$3:$CR$8,$U$13),INDEX($CR$23:$CR$28,$U$14))</f>
        <v>0</v>
      </c>
      <c r="BZ39" s="15" t="n">
        <f aca="false">IFERROR(LARGE($AH$6:$AK$24,38),0)</f>
        <v>0</v>
      </c>
      <c r="CA39" s="15" t="n">
        <f aca="false">CA38+BZ39</f>
        <v>0</v>
      </c>
      <c r="CB39" s="15" t="n">
        <f aca="false">IFERROR(LARGE($AM$6:$AP$24,38),0)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253</v>
      </c>
      <c r="U40" s="15" t="n">
        <f aca="false">IF($U$36=1,INDEX($CS$3:$CS$8,$U$13),INDEX($CS$23:$CS$28,$U$14))</f>
        <v>7</v>
      </c>
      <c r="BZ40" s="15" t="n">
        <f aca="false">IFERROR(LARGE($AH$6:$AK$24,39),0)</f>
        <v>0</v>
      </c>
      <c r="CA40" s="15" t="n">
        <f aca="false">CA39+BZ40</f>
        <v>0</v>
      </c>
      <c r="CB40" s="15" t="n">
        <f aca="false">IFERROR(LARGE($AM$6:$AP$24,39),0)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254</v>
      </c>
      <c r="U41" s="15" t="n">
        <f aca="false">IF($U$36=1,INDEX($CT$3:$CT$8,$U$13),INDEX($CT$23:$CT$28,$U$14))</f>
        <v>0</v>
      </c>
      <c r="BZ41" s="15" t="n">
        <f aca="false">IFERROR(LARGE($AH$6:$AK$24,40),0)</f>
        <v>0</v>
      </c>
      <c r="CA41" s="15" t="n">
        <f aca="false">CA40+BZ41</f>
        <v>0</v>
      </c>
      <c r="CB41" s="15" t="n">
        <f aca="false">IFERROR(LARGE($AM$6:$AP$24,40),0)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255</v>
      </c>
      <c r="U42" s="15" t="n">
        <f aca="false">IF($U$36=1,INDEX($CL$3:$CL$8,$U$13),INDEX($CL$23:$CL$28,$U$14))</f>
        <v>112</v>
      </c>
      <c r="BZ42" s="15" t="n">
        <f aca="false">IFERROR(LARGE($AH$6:$AK$24,41),0)</f>
        <v>0</v>
      </c>
      <c r="CA42" s="15" t="n">
        <f aca="false">CA41+BZ42</f>
        <v>0</v>
      </c>
      <c r="CB42" s="15" t="n">
        <f aca="false">IFERROR(LARGE($AM$6:$AP$24,41),0)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256</v>
      </c>
      <c r="U43" s="15" t="n">
        <f aca="false">IF($U$36=1,INDEX($CU$3:$CU$8,$U$13),INDEX($CU$23:$CU$28,$U$14))</f>
        <v>189</v>
      </c>
      <c r="BZ43" s="15" t="n">
        <f aca="false">IFERROR(LARGE($AH$6:$AK$24,42),0)</f>
        <v>0</v>
      </c>
      <c r="CA43" s="15" t="n">
        <f aca="false">CA42+BZ43</f>
        <v>0</v>
      </c>
      <c r="CB43" s="15" t="n">
        <f aca="false">IFERROR(LARGE($AM$6:$AP$24,42),0)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257</v>
      </c>
      <c r="U44" s="15" t="n">
        <f aca="false">IF($U$36=1,INDEX($CP$3:$CP$8,$U$13),INDEX($CP$23:$CP$28,$U$14))</f>
        <v>43</v>
      </c>
      <c r="BZ44" s="15" t="n">
        <f aca="false">IFERROR(LARGE($AH$6:$AK$24,43),0)</f>
        <v>0</v>
      </c>
      <c r="CA44" s="15" t="n">
        <f aca="false">CA43+BZ44</f>
        <v>0</v>
      </c>
      <c r="CB44" s="15" t="n">
        <f aca="false">IFERROR(LARGE($AM$6:$AP$24,43),0)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258</v>
      </c>
      <c r="U45" s="15" t="n">
        <f aca="false">IF($U$36=1,INDEX($CO$3:$CO$8,$U$13),INDEX($CO$23:$CO$28,$U$14))</f>
        <v>301</v>
      </c>
      <c r="BZ45" s="15" t="n">
        <f aca="false">IFERROR(LARGE($AH$6:$AK$24,44),0)</f>
        <v>0</v>
      </c>
      <c r="CA45" s="15" t="n">
        <f aca="false">CA44+BZ45</f>
        <v>0</v>
      </c>
      <c r="CB45" s="15" t="n">
        <f aca="false">IFERROR(LARGE($AM$6:$AP$24,44),0)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259</v>
      </c>
      <c r="U46" s="15" t="n">
        <f aca="false">IF($U$36=1,INDEX($CH$3:$CH$8,$U$13),INDEX($CH$23:$CH$28,$U$14))</f>
        <v>0</v>
      </c>
      <c r="BZ46" s="15" t="n">
        <f aca="false">IFERROR(LARGE($AH$6:$AK$24,45),0)</f>
        <v>0</v>
      </c>
      <c r="CA46" s="15" t="n">
        <f aca="false">CA45+BZ46</f>
        <v>0</v>
      </c>
      <c r="CB46" s="15" t="n">
        <f aca="false">IFERROR(LARGE($AM$6:$AP$24,45),0)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260</v>
      </c>
      <c r="U47" s="15" t="n">
        <f aca="false">IF($U$36=1,INDEX($DF$3:$DF$8,$U$13),INDEX($DF$23:$DF$28,$U$14))</f>
        <v>1</v>
      </c>
      <c r="BZ47" s="15" t="n">
        <f aca="false">IFERROR(LARGE($AH$6:$AK$24,46),0)</f>
        <v>0</v>
      </c>
      <c r="CA47" s="15" t="n">
        <f aca="false">CA46+BZ47</f>
        <v>0</v>
      </c>
      <c r="CB47" s="15" t="n">
        <f aca="false">IFERROR(LARGE($AM$6:$AP$24,46),0)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261</v>
      </c>
      <c r="U48" s="15" t="n">
        <f aca="false">IF($U$36=1,INDEX($CV$3:$CV$8,$U$13),INDEX($CV$23:$CV$28,$U$14))</f>
        <v>1</v>
      </c>
      <c r="BZ48" s="15" t="n">
        <f aca="false">IFERROR(LARGE($AH$6:$AK$24,47),0)</f>
        <v>0</v>
      </c>
      <c r="CA48" s="15" t="n">
        <f aca="false">CA47+BZ48</f>
        <v>0</v>
      </c>
      <c r="CB48" s="15" t="n">
        <f aca="false">IFERROR(LARGE($AM$6:$AP$24,47),0)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262</v>
      </c>
      <c r="U49" s="15" t="n">
        <f aca="false">IF($U$36=1,INDEX($CW$3:$CW$8,$U$13),INDEX($CW$23:$CW$28,$U$14))</f>
        <v>1</v>
      </c>
      <c r="BZ49" s="15" t="n">
        <f aca="false">IFERROR(LARGE($AH$6:$AK$24,48),0)</f>
        <v>0</v>
      </c>
      <c r="CA49" s="15" t="n">
        <f aca="false">CA48+BZ49</f>
        <v>0</v>
      </c>
      <c r="CB49" s="15" t="n">
        <f aca="false">IFERROR(LARGE($AM$6:$AP$24,48),0)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263</v>
      </c>
      <c r="U50" s="15" t="n">
        <f aca="false">IF($U$36=1,INDEX($CX$3:$CX$8,$U$13),INDEX($CX$23:$CX$28,$U$14))</f>
        <v>1</v>
      </c>
      <c r="BZ50" s="15" t="n">
        <f aca="false">IFERROR(LARGE($AH$6:$AK$24,49),0)</f>
        <v>0</v>
      </c>
      <c r="CA50" s="15" t="n">
        <f aca="false">CA49+BZ50</f>
        <v>0</v>
      </c>
      <c r="CB50" s="15" t="n">
        <f aca="false">IFERROR(LARGE($AM$6:$AP$24,49),0)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264</v>
      </c>
      <c r="U51" s="15" t="n">
        <f aca="false">IF($U$36=1,INDEX($CY$3:$CY$8,$U$13),INDEX($CY$23:$CY$28,$U$14))</f>
        <v>1</v>
      </c>
      <c r="BZ51" s="15" t="n">
        <f aca="false">IFERROR(LARGE($AH$6:$AK$24,50),0)</f>
        <v>0</v>
      </c>
      <c r="CA51" s="15" t="n">
        <f aca="false">CA50+BZ51</f>
        <v>0</v>
      </c>
      <c r="CB51" s="15" t="n">
        <f aca="false">IFERROR(LARGE($AM$6:$AP$24,50),0)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265</v>
      </c>
      <c r="U52" s="15" t="n">
        <f aca="false">IF($U$36=1,INDEX($CZ$3:$CZ$8,$U$13),INDEX($CZ$23:$CZ$28,$U$14))</f>
        <v>1</v>
      </c>
      <c r="BZ52" s="15" t="n">
        <f aca="false">IFERROR(LARGE($AH$6:$AK$24,51),0)</f>
        <v>0</v>
      </c>
      <c r="CA52" s="15" t="n">
        <f aca="false">CA51+BZ52</f>
        <v>0</v>
      </c>
      <c r="CB52" s="15" t="n">
        <f aca="false">IFERROR(LARGE($AM$6:$AP$24,51),0)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266</v>
      </c>
      <c r="U53" s="15" t="n">
        <f aca="false">IF($U$36=1,INDEX($DA$3:$DA$8,$U$13),INDEX($DA$23:$DA$28,$U$14))</f>
        <v>1</v>
      </c>
      <c r="BZ53" s="15" t="n">
        <f aca="false">IFERROR(LARGE($AH$6:$AK$24,52),0)</f>
        <v>0</v>
      </c>
      <c r="CA53" s="15" t="n">
        <f aca="false">CA52+BZ53</f>
        <v>0</v>
      </c>
      <c r="CB53" s="15" t="n">
        <f aca="false">IFERROR(LARGE($AM$6:$AP$24,52),0)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267</v>
      </c>
      <c r="U54" s="15" t="n">
        <f aca="false">IF($U$36=1,INDEX($DB$3:$DB$8,$U$13),INDEX($DB$23:$DB$28,$U$14))</f>
        <v>1</v>
      </c>
      <c r="BZ54" s="15" t="n">
        <f aca="false">IFERROR(LARGE($AH$6:$AK$24,53),0)</f>
        <v>0</v>
      </c>
      <c r="CA54" s="15" t="n">
        <f aca="false">CA53+BZ54</f>
        <v>0</v>
      </c>
      <c r="CB54" s="15" t="n">
        <f aca="false">IFERROR(LARGE($AM$6:$AP$24,53),0)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268</v>
      </c>
      <c r="U55" s="15" t="n">
        <f aca="false">IF($U$36=1,INDEX($DC$3:$DC$8,$U$13),INDEX($DC$23:$DC$28,$U$14))</f>
        <v>1</v>
      </c>
      <c r="BZ55" s="15" t="n">
        <f aca="false">IFERROR(LARGE($AH$6:$AK$24,54),0)</f>
        <v>0</v>
      </c>
      <c r="CA55" s="15" t="n">
        <f aca="false">CA54+BZ55</f>
        <v>0</v>
      </c>
      <c r="CB55" s="15" t="n">
        <f aca="false">IFERROR(LARGE($AM$6:$AP$24,54),0)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269</v>
      </c>
      <c r="U56" s="15" t="n">
        <f aca="false">IF($U$36=1,INDEX($DD$3:$DD$8,$U$13),INDEX($DD$23:$DD$28,$U$14))</f>
        <v>1</v>
      </c>
      <c r="BZ56" s="15" t="n">
        <f aca="false">IFERROR(LARGE($AH$6:$AK$24,55),0)</f>
        <v>0</v>
      </c>
      <c r="CA56" s="15" t="n">
        <f aca="false">CA55+BZ56</f>
        <v>0</v>
      </c>
      <c r="CB56" s="15" t="n">
        <f aca="false">IFERROR(LARGE($AM$6:$AP$24,55),0)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270</v>
      </c>
      <c r="U57" s="15" t="n">
        <f aca="false">IF($U$36=1,INDEX($DE$3:$DE$8,$U$13),INDEX($DE$23:$DE$28,$U$14))</f>
        <v>1</v>
      </c>
      <c r="BZ57" s="15" t="n">
        <f aca="false">IFERROR(LARGE($AH$6:$AK$24,56),0)</f>
        <v>0</v>
      </c>
      <c r="CA57" s="15" t="n">
        <f aca="false">CA56+BZ57</f>
        <v>0</v>
      </c>
      <c r="CB57" s="15" t="n">
        <f aca="false">IFERROR(LARGE($AM$6:$AP$24,56),0)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271</v>
      </c>
      <c r="U58" s="15" t="n">
        <f aca="false">IF($U$36=1,$U$13,$U$14)</f>
        <v>1</v>
      </c>
    </row>
    <row r="59" customFormat="false" ht="15" hidden="false" customHeight="false" outlineLevel="0" collapsed="false">
      <c r="T59" s="15" t="s">
        <v>272</v>
      </c>
      <c r="U59" s="15" t="n">
        <f aca="false">IF($U$36=1,$U$9,$V$9)</f>
        <v>0</v>
      </c>
    </row>
    <row r="60" customFormat="false" ht="15" hidden="false" customHeight="false" outlineLevel="0" collapsed="false">
      <c r="T60" s="15" t="s">
        <v>273</v>
      </c>
      <c r="U60" s="15" t="n">
        <f aca="false">IF($U$36=1,$U$17,$U$22)</f>
        <v>140</v>
      </c>
    </row>
    <row r="61" customFormat="false" ht="15" hidden="false" customHeight="false" outlineLevel="0" collapsed="false">
      <c r="T61" s="15" t="s">
        <v>274</v>
      </c>
      <c r="U61" s="15" t="n">
        <f aca="false">IF($U$36=1,$U$18,$U$23)</f>
        <v>4</v>
      </c>
    </row>
    <row r="62" customFormat="false" ht="15" hidden="false" customHeight="false" outlineLevel="0" collapsed="false">
      <c r="T62" s="15" t="s">
        <v>275</v>
      </c>
      <c r="U62" s="15" t="n">
        <f aca="false">IF($U$36=1,$U$29,$U$32)</f>
        <v>1</v>
      </c>
    </row>
    <row r="63" customFormat="false" ht="15" hidden="false" customHeight="false" outlineLevel="0" collapsed="false">
      <c r="T63" s="15" t="s">
        <v>276</v>
      </c>
      <c r="U63" s="15" t="n">
        <f aca="false">IF($U$36=1,$U$30,$U$33)</f>
        <v>1</v>
      </c>
    </row>
    <row r="64" customFormat="false" ht="15" hidden="false" customHeight="false" outlineLevel="0" collapsed="false">
      <c r="T64" s="15" t="s">
        <v>278</v>
      </c>
      <c r="U64" s="15" t="n">
        <f aca="false">IF($U$36=1,$U$31,$U$34)</f>
        <v>1</v>
      </c>
    </row>
    <row r="65" customFormat="false" ht="15" hidden="false" customHeight="false" outlineLevel="0" collapsed="false">
      <c r="T65" s="15" t="s">
        <v>188</v>
      </c>
      <c r="U65" s="15" t="n">
        <f aca="false">$U$37+$U$60</f>
        <v>420</v>
      </c>
    </row>
    <row r="66" customFormat="false" ht="15" hidden="false" customHeight="false" outlineLevel="0" collapsed="false">
      <c r="T66" s="15" t="s">
        <v>279</v>
      </c>
      <c r="U66" s="15" t="n">
        <f aca="false">IF($U$65&gt;=300,1,0)</f>
        <v>1</v>
      </c>
    </row>
    <row r="67" customFormat="false" ht="15" hidden="false" customHeight="false" outlineLevel="0" collapsed="false">
      <c r="T67" s="15" t="s">
        <v>280</v>
      </c>
      <c r="U67" s="15" t="n">
        <f aca="false">IF($U$47*$U$64*$U$66=1,1,0)</f>
        <v>1</v>
      </c>
    </row>
    <row r="68" customFormat="false" ht="15" hidden="false" customHeight="false" outlineLevel="0" collapsed="false">
      <c r="T68" s="15" t="s">
        <v>281</v>
      </c>
      <c r="U68" s="15" t="n">
        <f aca="false">IF($U$65&lt;300,"",MAX(10,MIN(40,INT((1020-$U$65)/18))))</f>
        <v>33</v>
      </c>
    </row>
    <row r="69" customFormat="false" ht="15" hidden="false" customHeight="false" outlineLevel="0" collapsed="false">
      <c r="T69" s="15" t="s">
        <v>282</v>
      </c>
      <c r="U69" s="15" t="n">
        <f aca="false">IF($U$68="",MAX(0,300-$U$65),IF($U$68&gt;10,1021-18*$U$68-$U$65,""))</f>
        <v>7</v>
      </c>
    </row>
    <row r="70" customFormat="false" ht="15" hidden="false" customHeight="false" outlineLevel="0" collapsed="false">
      <c r="T70" s="0" t="s">
        <v>283</v>
      </c>
      <c r="U70" s="0" t="n">
        <f aca="false">IF($U$68="","",$U$65-IF($U$68&gt;=40,300,1020-18*($U$68+1)+1))</f>
        <v>11</v>
      </c>
    </row>
  </sheetData>
  <sheetProtection sheet="true" formatCells="false" formatColumns="false" formatRows="false"/>
  <mergeCells count="1">
    <mergeCell ref="M6:N6"/>
  </mergeCells>
  <conditionalFormatting sqref="E6:H24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9">
    <cfRule type="expression" priority="5" aboveAverage="0" equalAverage="0" bottom="0" percent="0" rank="0" text="" dxfId="3">
      <formula>AND(ISNUMBER(I6),I6&lt;5)</formula>
    </cfRule>
  </conditionalFormatting>
  <conditionalFormatting sqref="M19:M26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2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8 E9:I9 E11:H24 I26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1:D24" type="list">
      <formula1>"x"</formula1>
      <formula2>0</formula2>
    </dataValidation>
  </dataValidations>
  <hyperlinks>
    <hyperlink ref="B36" r:id="rId2" display="https://recht.nrw.de/lrgv/rechtsverordnung/01082025-verordnung-ueber-den-bildungsgang-und-die-abiturpruefung-der/"/>
    <hyperlink ref="B38" r:id="rId3" display="Online-Rechner Nordrhein-Westfalen mit Statistik und PDF-Download: https://www.abi-rechner.com/bundeslander/nordrhein-westfalen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Nordrhein-Westfalen · abi-rechner.com · Stand September 2026</oddFooter>
  </headerFooter>
  <legacy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422</v>
      </c>
      <c r="T1" s="15" t="s">
        <v>72</v>
      </c>
      <c r="BZ1" s="15" t="s">
        <v>73</v>
      </c>
      <c r="CA1" s="15" t="s">
        <v>74</v>
      </c>
      <c r="CB1" s="15" t="s">
        <v>75</v>
      </c>
      <c r="CC1" s="15" t="s">
        <v>76</v>
      </c>
    </row>
    <row r="2" customFormat="false" ht="15" hidden="false" customHeight="false" outlineLevel="0" collapsed="false">
      <c r="B2" s="2" t="s">
        <v>423</v>
      </c>
      <c r="T2" s="15" t="s">
        <v>78</v>
      </c>
      <c r="U2" s="15" t="n">
        <f aca="false">IFERROR(AVERAGE($E$6:$H$24),7)</f>
        <v>7</v>
      </c>
      <c r="BZ2" s="15" t="n">
        <f aca="false">IFERROR(LARGE($AH$6:$AK$24,1),0)</f>
        <v>0</v>
      </c>
      <c r="CA2" s="15" t="n">
        <f aca="false">BZ2</f>
        <v>0</v>
      </c>
      <c r="CB2" s="15" t="n">
        <f aca="false">IFERROR(LARGE($AM$6:$AP$24,1),0)</f>
        <v>0</v>
      </c>
      <c r="CC2" s="15" t="n">
        <f aca="false">CB2</f>
        <v>0</v>
      </c>
      <c r="CE2" s="15" t="s">
        <v>79</v>
      </c>
      <c r="CF2" s="15" t="s">
        <v>80</v>
      </c>
      <c r="CG2" s="15" t="s">
        <v>81</v>
      </c>
      <c r="CH2" s="15" t="s">
        <v>82</v>
      </c>
      <c r="CI2" s="15" t="s">
        <v>83</v>
      </c>
      <c r="CJ2" s="15" t="s">
        <v>84</v>
      </c>
      <c r="CK2" s="15" t="s">
        <v>85</v>
      </c>
      <c r="CL2" s="15" t="s">
        <v>86</v>
      </c>
      <c r="CM2" s="15" t="s">
        <v>87</v>
      </c>
      <c r="CN2" s="15" t="s">
        <v>88</v>
      </c>
      <c r="CO2" s="15" t="s">
        <v>89</v>
      </c>
      <c r="CP2" s="15" t="s">
        <v>90</v>
      </c>
      <c r="CQ2" s="15" t="s">
        <v>91</v>
      </c>
      <c r="CR2" s="15" t="s">
        <v>92</v>
      </c>
      <c r="CS2" s="15" t="s">
        <v>93</v>
      </c>
      <c r="CT2" s="15" t="s">
        <v>94</v>
      </c>
      <c r="CU2" s="15" t="s">
        <v>95</v>
      </c>
      <c r="CV2" s="15" t="s">
        <v>96</v>
      </c>
      <c r="CW2" s="15" t="s">
        <v>97</v>
      </c>
      <c r="CX2" s="15" t="s">
        <v>98</v>
      </c>
      <c r="CY2" s="15" t="s">
        <v>99</v>
      </c>
      <c r="CZ2" s="15" t="s">
        <v>100</v>
      </c>
      <c r="DA2" s="15" t="s">
        <v>101</v>
      </c>
      <c r="DB2" s="15" t="s">
        <v>102</v>
      </c>
      <c r="DC2" s="15" t="s">
        <v>103</v>
      </c>
      <c r="DD2" s="15" t="s">
        <v>104</v>
      </c>
      <c r="DE2" s="15" t="s">
        <v>105</v>
      </c>
      <c r="DF2" s="15" t="s">
        <v>106</v>
      </c>
      <c r="DG2" s="15" t="s">
        <v>107</v>
      </c>
      <c r="DH2" s="15" t="s">
        <v>108</v>
      </c>
    </row>
    <row r="3" customFormat="false" ht="15" hidden="false" customHeight="false" outlineLevel="0" collapsed="false">
      <c r="B3" s="16" t="s">
        <v>109</v>
      </c>
      <c r="T3" s="15" t="s">
        <v>110</v>
      </c>
      <c r="U3" s="15" t="n">
        <f aca="false">IFERROR(AVERAGE($I$6:$I$9),$U$2)</f>
        <v>7</v>
      </c>
      <c r="BZ3" s="15" t="n">
        <f aca="false">IFERROR(LARGE($AH$6:$AK$24,2),0)</f>
        <v>0</v>
      </c>
      <c r="CA3" s="15" t="n">
        <f aca="false">CA2+BZ3</f>
        <v>0</v>
      </c>
      <c r="CB3" s="15" t="n">
        <f aca="false">IFERROR(LARGE($AM$6:$AP$24,2),0)</f>
        <v>0</v>
      </c>
      <c r="CC3" s="15" t="n">
        <f aca="false">CC2+CB3</f>
        <v>0</v>
      </c>
      <c r="CE3" s="15" t="n">
        <f aca="false">36</f>
        <v>36</v>
      </c>
      <c r="CF3" s="15" t="n">
        <f aca="false">CE3-$U$5-$U$6-0</f>
        <v>20</v>
      </c>
      <c r="CG3" s="15" t="n">
        <f aca="false">MAX(0,CF3)</f>
        <v>20</v>
      </c>
      <c r="CH3" s="15" t="n">
        <f aca="false">MIN(CG3,$U$7)</f>
        <v>0</v>
      </c>
      <c r="CI3" s="15" t="n">
        <f aca="false">CG3-CH3</f>
        <v>20</v>
      </c>
      <c r="CJ3" s="15" t="n">
        <f aca="false">0</f>
        <v>0</v>
      </c>
      <c r="CK3" s="15" t="n">
        <f aca="false">$U$5+CH3+CJ3</f>
        <v>0</v>
      </c>
      <c r="CL3" s="15" t="n">
        <f aca="false">2*AW6+2*AX6+2*AW7+2*AX7+1*AW8+1*AX8</f>
        <v>0</v>
      </c>
      <c r="CM3" s="15" t="n">
        <f aca="false">2*AY6+2*AZ6+2*AY7+2*AZ7+1*AY8+1*AZ8+1*AY9+1*AZ9+SUM($AA$11:$AA$24)</f>
        <v>0</v>
      </c>
      <c r="CN3" s="15" t="n">
        <f aca="false">IF(CH3=0,0,INDEX($CA$2:$CA$57,CH3))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IF(44&gt;0,MIN(600,INT((CO3/44*40)+0.5+0.000000001)),0)</f>
        <v>0</v>
      </c>
      <c r="CR3" s="15" t="n">
        <f aca="false">$U$9+CT3</f>
        <v>0</v>
      </c>
      <c r="CS3" s="15" t="n">
        <f aca="false">7</f>
        <v>7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1</f>
        <v>1</v>
      </c>
      <c r="CY3" s="15" t="n">
        <f aca="false">1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36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111</v>
      </c>
      <c r="U4" s="15" t="n">
        <f aca="false">IF(COUNT($E$6:$H$24,$I$6:$I$9)&gt;0,1,0)</f>
        <v>0</v>
      </c>
      <c r="BZ4" s="15" t="n">
        <f aca="false">IFERROR(LARGE($AH$6:$AK$24,3),0)</f>
        <v>0</v>
      </c>
      <c r="CA4" s="15" t="n">
        <f aca="false">CA3+BZ4</f>
        <v>0</v>
      </c>
      <c r="CB4" s="15" t="n">
        <f aca="false">IFERROR(LARGE($AM$6:$AP$24,3),0)</f>
        <v>0</v>
      </c>
      <c r="CC4" s="15" t="n">
        <f aca="false">CC3+CB4</f>
        <v>0</v>
      </c>
      <c r="CE4" s="15" t="n">
        <f aca="false">36</f>
        <v>36</v>
      </c>
      <c r="CF4" s="15" t="n">
        <f aca="false">CE4-$U$5-$U$6-0</f>
        <v>20</v>
      </c>
      <c r="CG4" s="15" t="n">
        <f aca="false">MAX(0,CF4)</f>
        <v>20</v>
      </c>
      <c r="CH4" s="15" t="n">
        <f aca="false">MIN(CG4,$U$7)</f>
        <v>0</v>
      </c>
      <c r="CI4" s="15" t="n">
        <f aca="false">CG4-CH4</f>
        <v>20</v>
      </c>
      <c r="CJ4" s="15" t="n">
        <f aca="false">0</f>
        <v>0</v>
      </c>
      <c r="CK4" s="15" t="n">
        <f aca="false">$U$5+CH4+CJ4</f>
        <v>0</v>
      </c>
      <c r="CL4" s="15" t="n">
        <f aca="false">2*AW6+2*AX6+1*AW7+1*AX7+2*AW8+2*AX8</f>
        <v>0</v>
      </c>
      <c r="CM4" s="15" t="n">
        <f aca="false">2*AY6+2*AZ6+1*AY7+1*AZ7+2*AY8+2*AZ8+1*AY9+1*AZ9+SUM($AA$11:$AA$24)</f>
        <v>0</v>
      </c>
      <c r="CN4" s="15" t="n">
        <f aca="false">IF(CH4=0,0,INDEX($CA$2:$CA$57,CH4))</f>
        <v>0</v>
      </c>
      <c r="CO4" s="15" t="n">
        <f aca="false">CL4+$U$11+CN4+CJ4*$U$2</f>
        <v>0</v>
      </c>
      <c r="CP4" s="15" t="n">
        <f aca="false">CM4+CH4+CJ4</f>
        <v>0</v>
      </c>
      <c r="CQ4" s="15" t="n">
        <f aca="false">IF(44&gt;0,MIN(600,INT((CO4/44*40)+0.5+0.000000001)),0)</f>
        <v>0</v>
      </c>
      <c r="CR4" s="15" t="n">
        <f aca="false">$U$9+CT4</f>
        <v>0</v>
      </c>
      <c r="CS4" s="15" t="n">
        <f aca="false">7</f>
        <v>7</v>
      </c>
      <c r="CT4" s="15" t="n">
        <f aca="false">$U$10+MAX(0,CH4-$U$8)+CJ4*IF($U$2&lt;5,1,0)</f>
        <v>0</v>
      </c>
      <c r="CU4" s="15" t="n">
        <f aca="false">$U$11+CN4+CJ4*$U$2</f>
        <v>0</v>
      </c>
      <c r="CV4" s="15" t="n">
        <f aca="false">IF(CQ4&gt;=200,1,0)</f>
        <v>0</v>
      </c>
      <c r="CW4" s="15" t="n">
        <f aca="false">IF(CR4&lt;=CS4,1,0)</f>
        <v>1</v>
      </c>
      <c r="CX4" s="15" t="n">
        <f aca="false">1</f>
        <v>1</v>
      </c>
      <c r="CY4" s="15" t="n">
        <f aca="false">1</f>
        <v>1</v>
      </c>
      <c r="CZ4" s="15" t="n">
        <f aca="false">1</f>
        <v>1</v>
      </c>
      <c r="DA4" s="15" t="n">
        <f aca="false">1</f>
        <v>1</v>
      </c>
      <c r="DB4" s="15" t="n">
        <f aca="false">IF($U$12=0,1,0)</f>
        <v>1</v>
      </c>
      <c r="DC4" s="15" t="n">
        <f aca="false">1</f>
        <v>1</v>
      </c>
      <c r="DD4" s="15" t="n">
        <f aca="false">1</f>
        <v>1</v>
      </c>
      <c r="DE4" s="15" t="n">
        <f aca="false">IF(CF4&lt;0,0,1)</f>
        <v>1</v>
      </c>
      <c r="DF4" s="15" t="n">
        <f aca="false">IF(CV4*CW4*CX4*CY4*CZ4*DA4*DB4*DC4*DD4*DE4=1,1,0)</f>
        <v>0</v>
      </c>
      <c r="DG4" s="15" t="n">
        <f aca="false">$U$6+CI4</f>
        <v>36</v>
      </c>
      <c r="DH4" s="15" t="n">
        <f aca="false">DF4*1000000+CQ4*100+(100-CK4)</f>
        <v>100</v>
      </c>
    </row>
    <row r="5" customFormat="false" ht="30" hidden="false" customHeight="true" outlineLevel="0" collapsed="false">
      <c r="B5" s="17" t="s">
        <v>9</v>
      </c>
      <c r="C5" s="17" t="s">
        <v>112</v>
      </c>
      <c r="D5" s="18"/>
      <c r="E5" s="18" t="s">
        <v>113</v>
      </c>
      <c r="F5" s="18" t="s">
        <v>114</v>
      </c>
      <c r="G5" s="18" t="s">
        <v>115</v>
      </c>
      <c r="H5" s="18" t="s">
        <v>116</v>
      </c>
      <c r="I5" s="18" t="s">
        <v>11</v>
      </c>
      <c r="J5" s="18" t="s">
        <v>117</v>
      </c>
      <c r="L5" s="19" t="s">
        <v>118</v>
      </c>
      <c r="M5" s="20"/>
      <c r="N5" s="20"/>
      <c r="T5" s="15" t="s">
        <v>119</v>
      </c>
      <c r="U5" s="15" t="n">
        <f aca="false">AY6+AY7+AY8+AY9+AZ6+AZ7+AZ8+AZ9+SUM($AA$11:$AA$24)</f>
        <v>0</v>
      </c>
      <c r="V5" s="15" t="n">
        <f aca="false">BG6+BG7+BG8+BG9+BH6+BH7+BH8+BH9+SUM($AE$11:$AE$24)</f>
        <v>16</v>
      </c>
      <c r="AH5" s="15" t="s">
        <v>120</v>
      </c>
      <c r="AM5" s="15" t="s">
        <v>121</v>
      </c>
      <c r="AR5" s="15" t="s">
        <v>122</v>
      </c>
      <c r="AW5" s="15" t="s">
        <v>123</v>
      </c>
      <c r="AX5" s="15" t="s">
        <v>124</v>
      </c>
      <c r="AY5" s="15" t="s">
        <v>125</v>
      </c>
      <c r="AZ5" s="15" t="s">
        <v>126</v>
      </c>
      <c r="BA5" s="15" t="s">
        <v>127</v>
      </c>
      <c r="BB5" s="15" t="s">
        <v>128</v>
      </c>
      <c r="BC5" s="15" t="s">
        <v>129</v>
      </c>
      <c r="BD5" s="15" t="s">
        <v>130</v>
      </c>
      <c r="BE5" s="15" t="s">
        <v>131</v>
      </c>
      <c r="BF5" s="15" t="s">
        <v>132</v>
      </c>
      <c r="BG5" s="15" t="s">
        <v>133</v>
      </c>
      <c r="BH5" s="15" t="s">
        <v>134</v>
      </c>
      <c r="BI5" s="15" t="s">
        <v>135</v>
      </c>
      <c r="BJ5" s="15" t="s">
        <v>136</v>
      </c>
      <c r="BK5" s="15" t="s">
        <v>137</v>
      </c>
      <c r="BL5" s="15" t="s">
        <v>138</v>
      </c>
      <c r="BN5" s="15" t="s">
        <v>139</v>
      </c>
      <c r="BO5" s="15" t="s">
        <v>140</v>
      </c>
      <c r="BP5" s="15" t="s">
        <v>141</v>
      </c>
      <c r="BQ5" s="15" t="s">
        <v>128</v>
      </c>
      <c r="BR5" s="15" t="s">
        <v>142</v>
      </c>
      <c r="BT5" s="15" t="s">
        <v>143</v>
      </c>
      <c r="BU5" s="15" t="s">
        <v>144</v>
      </c>
      <c r="BV5" s="15" t="s">
        <v>145</v>
      </c>
      <c r="BW5" s="15" t="s">
        <v>136</v>
      </c>
      <c r="BX5" s="15" t="s">
        <v>146</v>
      </c>
      <c r="BZ5" s="15" t="n">
        <f aca="false">IFERROR(LARGE($AH$6:$AK$24,4),0)</f>
        <v>0</v>
      </c>
      <c r="CA5" s="15" t="n">
        <f aca="false">CA4+BZ5</f>
        <v>0</v>
      </c>
      <c r="CB5" s="15" t="n">
        <f aca="false">IFERROR(LARGE($AM$6:$AP$24,4),0)</f>
        <v>0</v>
      </c>
      <c r="CC5" s="15" t="n">
        <f aca="false">CC4+CB5</f>
        <v>0</v>
      </c>
      <c r="CE5" s="15" t="n">
        <f aca="false">36</f>
        <v>36</v>
      </c>
      <c r="CF5" s="15" t="n">
        <f aca="false">CE5-$U$5-$U$6-0</f>
        <v>20</v>
      </c>
      <c r="CG5" s="15" t="n">
        <f aca="false">MAX(0,CF5)</f>
        <v>20</v>
      </c>
      <c r="CH5" s="15" t="n">
        <f aca="false">MIN(CG5,$U$7)</f>
        <v>0</v>
      </c>
      <c r="CI5" s="15" t="n">
        <f aca="false">CG5-CH5</f>
        <v>20</v>
      </c>
      <c r="CJ5" s="15" t="n">
        <f aca="false">0</f>
        <v>0</v>
      </c>
      <c r="CK5" s="15" t="n">
        <f aca="false">$U$5+CH5+CJ5</f>
        <v>0</v>
      </c>
      <c r="CL5" s="15" t="n">
        <f aca="false">1*AW6+1*AX6+2*AW7+2*AX7+2*AW8+2*AX8</f>
        <v>0</v>
      </c>
      <c r="CM5" s="15" t="n">
        <f aca="false">1*AY6+1*AZ6+2*AY7+2*AZ7+2*AY8+2*AZ8+1*AY9+1*AZ9+SUM($AA$11:$AA$24)</f>
        <v>0</v>
      </c>
      <c r="CN5" s="15" t="n">
        <f aca="false">IF(CH5=0,0,INDEX($CA$2:$CA$57,CH5))</f>
        <v>0</v>
      </c>
      <c r="CO5" s="15" t="n">
        <f aca="false">CL5+$U$11+CN5+CJ5*$U$2</f>
        <v>0</v>
      </c>
      <c r="CP5" s="15" t="n">
        <f aca="false">CM5+CH5+CJ5</f>
        <v>0</v>
      </c>
      <c r="CQ5" s="15" t="n">
        <f aca="false">IF(44&gt;0,MIN(600,INT((CO5/44*40)+0.5+0.000000001)),0)</f>
        <v>0</v>
      </c>
      <c r="CR5" s="15" t="n">
        <f aca="false">$U$9+CT5</f>
        <v>0</v>
      </c>
      <c r="CS5" s="15" t="n">
        <f aca="false">7</f>
        <v>7</v>
      </c>
      <c r="CT5" s="15" t="n">
        <f aca="false">$U$10+MAX(0,CH5-$U$8)+CJ5*IF($U$2&lt;5,1,0)</f>
        <v>0</v>
      </c>
      <c r="CU5" s="15" t="n">
        <f aca="false">$U$11+CN5+CJ5*$U$2</f>
        <v>0</v>
      </c>
      <c r="CV5" s="15" t="n">
        <f aca="false">IF(CQ5&gt;=200,1,0)</f>
        <v>0</v>
      </c>
      <c r="CW5" s="15" t="n">
        <f aca="false">IF(CR5&lt;=CS5,1,0)</f>
        <v>1</v>
      </c>
      <c r="CX5" s="15" t="n">
        <f aca="false">1</f>
        <v>1</v>
      </c>
      <c r="CY5" s="15" t="n">
        <f aca="false">1</f>
        <v>1</v>
      </c>
      <c r="CZ5" s="15" t="n">
        <f aca="false">1</f>
        <v>1</v>
      </c>
      <c r="DA5" s="15" t="n">
        <f aca="false">1</f>
        <v>1</v>
      </c>
      <c r="DB5" s="15" t="n">
        <f aca="false">IF($U$12=0,1,0)</f>
        <v>1</v>
      </c>
      <c r="DC5" s="15" t="n">
        <f aca="false">1</f>
        <v>1</v>
      </c>
      <c r="DD5" s="15" t="n">
        <f aca="false">1</f>
        <v>1</v>
      </c>
      <c r="DE5" s="15" t="n">
        <f aca="false">IF(CF5&lt;0,0,1)</f>
        <v>1</v>
      </c>
      <c r="DF5" s="15" t="n">
        <f aca="false">IF(CV5*CW5*CX5*CY5*CZ5*DA5*DB5*DC5*DD5*DE5=1,1,0)</f>
        <v>0</v>
      </c>
      <c r="DG5" s="15" t="n">
        <f aca="false">$U$6+CI5</f>
        <v>36</v>
      </c>
      <c r="DH5" s="15" t="n">
        <f aca="false">DF5*1000000+CQ5*100+(100-CK5)</f>
        <v>100</v>
      </c>
    </row>
    <row r="6" customFormat="false" ht="39.75" hidden="false" customHeight="true" outlineLevel="0" collapsed="false">
      <c r="B6" s="21" t="s">
        <v>424</v>
      </c>
      <c r="C6" s="22"/>
      <c r="D6" s="23" t="s">
        <v>148</v>
      </c>
      <c r="E6" s="24"/>
      <c r="F6" s="24"/>
      <c r="G6" s="24"/>
      <c r="H6" s="24"/>
      <c r="I6" s="25"/>
      <c r="J6" s="24"/>
      <c r="L6" s="26" t="s">
        <v>149</v>
      </c>
      <c r="M6" s="27" t="str">
        <f aca="false">IF($U$4=0,"Noch keine Eingaben – trag deine Punkte in die gelben Felder ein.",IF($U$36=1,"Endergebnis (alle Felder ausgefüllt)","Prognose: "&amp;$U$35&amp;" Felder offen, gefüllt mit deinem Schnitt von "&amp;FIXED($U$2,1)&amp;" Punkten"))</f>
        <v>Noch keine Eingaben – trag deine Punkte in die gelben Felder ein.</v>
      </c>
      <c r="N6" s="27"/>
      <c r="T6" s="15" t="s">
        <v>150</v>
      </c>
      <c r="U6" s="15" t="n">
        <f aca="false">BC6+BC7+BC8+BC9</f>
        <v>16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IF(BN6="","",IF(ISNUMBER($J$6),INT((2*BN6+$J$6)/3*$U$16+0.000000001),BN6*$U$16))</f>
        <v/>
      </c>
      <c r="BP6" s="15" t="n">
        <f aca="false">IF(BO6="",0,IF(BO6&gt;=5*$U$16-0.000000001,1,0))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IF(BT6="","",IF(ISNUMBER($J$6),INT((2*BT6+$J$6)/3*$U$16+0.000000001),BT6*$U$16))</f>
        <v>35</v>
      </c>
      <c r="BV6" s="15" t="n">
        <f aca="false">IF(BU6="",0,IF(BU6&gt;=5*$U$16-0.000000001,1,0))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IFERROR(LARGE($AH$6:$AK$24,5),0)</f>
        <v>0</v>
      </c>
      <c r="CA6" s="15" t="n">
        <f aca="false">CA5+BZ6</f>
        <v>0</v>
      </c>
      <c r="CB6" s="15" t="n">
        <f aca="false">IFERROR(LARGE($AM$6:$AP$24,5),0)</f>
        <v>0</v>
      </c>
      <c r="CC6" s="15" t="n">
        <f aca="false">CC5+CB6</f>
        <v>0</v>
      </c>
    </row>
    <row r="7" customFormat="false" ht="37.5" hidden="false" customHeight="true" outlineLevel="0" collapsed="false">
      <c r="B7" s="21" t="s">
        <v>425</v>
      </c>
      <c r="C7" s="22"/>
      <c r="D7" s="23" t="s">
        <v>148</v>
      </c>
      <c r="E7" s="24"/>
      <c r="F7" s="24"/>
      <c r="G7" s="24"/>
      <c r="H7" s="24"/>
      <c r="I7" s="25"/>
      <c r="J7" s="24"/>
      <c r="L7" s="26" t="s">
        <v>152</v>
      </c>
      <c r="M7" s="28" t="str">
        <f aca="false">IF($U$4=0,"",$U$37)</f>
        <v/>
      </c>
      <c r="N7" s="29" t="s">
        <v>153</v>
      </c>
      <c r="T7" s="15" t="s">
        <v>154</v>
      </c>
      <c r="U7" s="15" t="n">
        <f aca="false">COUNT($AH$6:$AK$24)</f>
        <v>0</v>
      </c>
      <c r="V7" s="15" t="n">
        <f aca="false">COUNT($AM$6:$AP$24)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IF(BN7="","",IF(ISNUMBER($J$7),INT((2*BN7+$J$7)/3*$U$16+0.000000001),BN7*$U$16))</f>
        <v/>
      </c>
      <c r="BP7" s="15" t="n">
        <f aca="false">IF(BO7="",0,IF(BO7&gt;=5*$U$16-0.000000001,1,0))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IF(BT7="","",IF(ISNUMBER($J$7),INT((2*BT7+$J$7)/3*$U$16+0.000000001),BT7*$U$16))</f>
        <v>35</v>
      </c>
      <c r="BV7" s="15" t="n">
        <f aca="false">IF(BU7="",0,IF(BU7&gt;=5*$U$16-0.000000001,1,0))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IFERROR(LARGE($AH$6:$AK$24,6),0)</f>
        <v>0</v>
      </c>
      <c r="CA7" s="15" t="n">
        <f aca="false">CA6+BZ7</f>
        <v>0</v>
      </c>
      <c r="CB7" s="15" t="n">
        <f aca="false">IFERROR(LARGE($AM$6:$AP$24,6),0)</f>
        <v>0</v>
      </c>
      <c r="CC7" s="15" t="n">
        <f aca="false">CC6+CB7</f>
        <v>0</v>
      </c>
    </row>
    <row r="8" customFormat="false" ht="37.5" hidden="false" customHeight="true" outlineLevel="0" collapsed="false">
      <c r="B8" s="21" t="s">
        <v>426</v>
      </c>
      <c r="C8" s="22"/>
      <c r="D8" s="23" t="s">
        <v>148</v>
      </c>
      <c r="E8" s="24"/>
      <c r="F8" s="24"/>
      <c r="G8" s="24"/>
      <c r="H8" s="24"/>
      <c r="I8" s="25"/>
      <c r="J8" s="24"/>
      <c r="L8" s="26" t="s">
        <v>156</v>
      </c>
      <c r="M8" s="28" t="str">
        <f aca="false">IF($U$4=0,"",$U$60)</f>
        <v/>
      </c>
      <c r="N8" s="29" t="s">
        <v>157</v>
      </c>
      <c r="T8" s="15" t="s">
        <v>158</v>
      </c>
      <c r="U8" s="15" t="n">
        <f aca="false">COUNTIF($AH$6:$AK$24,"&gt;=5")</f>
        <v>0</v>
      </c>
      <c r="V8" s="15" t="n">
        <f aca="false">COUNTIF($AM$6:$AP$24,"&gt;=5")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IF(BN8="","",IF(ISNUMBER($J$8),INT((2*BN8+$J$8)/3*$U$16+0.000000001),BN8*$U$16))</f>
        <v/>
      </c>
      <c r="BP8" s="15" t="n">
        <f aca="false">IF(BO8="",0,IF(BO8&gt;=5*$U$16-0.000000001,1,0))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IF(BT8="","",IF(ISNUMBER($J$8),INT((2*BT8+$J$8)/3*$U$16+0.000000001),BT8*$U$16))</f>
        <v>35</v>
      </c>
      <c r="BV8" s="15" t="n">
        <f aca="false">IF(BU8="",0,IF(BU8&gt;=5*$U$16-0.000000001,1,0))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IFERROR(LARGE($AH$6:$AK$24,7),0)</f>
        <v>0</v>
      </c>
      <c r="CA8" s="15" t="n">
        <f aca="false">CA7+BZ8</f>
        <v>0</v>
      </c>
      <c r="CB8" s="15" t="n">
        <f aca="false">IFERROR(LARGE($AM$6:$AP$24,7),0)</f>
        <v>0</v>
      </c>
      <c r="CC8" s="15" t="n">
        <f aca="false">CC7+CB8</f>
        <v>0</v>
      </c>
    </row>
    <row r="9" customFormat="false" ht="37.5" hidden="false" customHeight="true" outlineLevel="0" collapsed="false">
      <c r="B9" s="21" t="s">
        <v>427</v>
      </c>
      <c r="C9" s="22"/>
      <c r="D9" s="23" t="s">
        <v>148</v>
      </c>
      <c r="E9" s="24"/>
      <c r="F9" s="24"/>
      <c r="G9" s="24"/>
      <c r="H9" s="24"/>
      <c r="I9" s="25"/>
      <c r="J9" s="30" t="s">
        <v>160</v>
      </c>
      <c r="L9" s="31" t="s">
        <v>161</v>
      </c>
      <c r="M9" s="32" t="str">
        <f aca="false">IF($U$4=0,"",$U$65)</f>
        <v/>
      </c>
      <c r="N9" s="29" t="s">
        <v>162</v>
      </c>
      <c r="T9" s="15" t="s">
        <v>163</v>
      </c>
      <c r="U9" s="15" t="n">
        <f aca="false">BA6+BA7+BA8</f>
        <v>0</v>
      </c>
      <c r="V9" s="15" t="n">
        <f aca="false">BI6+BI7+BI8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IF(BN9="","",BN9*$U$16)</f>
        <v/>
      </c>
      <c r="BP9" s="15" t="n">
        <f aca="false">IF(BO9="",0,IF(BO9&gt;=5*$U$16-0.000000001,1,0))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IF(BT9="","",BT9*$U$16)</f>
        <v>35</v>
      </c>
      <c r="BV9" s="15" t="n">
        <f aca="false">IF(BU9="",0,IF(BU9&gt;=5*$U$16-0.000000001,1,0))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IFERROR(LARGE($AH$6:$AK$24,8),0)</f>
        <v>0</v>
      </c>
      <c r="CA9" s="15" t="n">
        <f aca="false">CA8+BZ9</f>
        <v>0</v>
      </c>
      <c r="CB9" s="15" t="n">
        <f aca="false">IFERROR(LARGE($AM$6:$AP$24,8),0)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6" t="s">
        <v>167</v>
      </c>
      <c r="C10" s="6" t="s">
        <v>112</v>
      </c>
      <c r="D10" s="34" t="s">
        <v>168</v>
      </c>
      <c r="E10" s="35" t="s">
        <v>113</v>
      </c>
      <c r="F10" s="35" t="s">
        <v>114</v>
      </c>
      <c r="G10" s="35" t="s">
        <v>115</v>
      </c>
      <c r="H10" s="35" t="s">
        <v>116</v>
      </c>
      <c r="I10" s="20"/>
      <c r="J10" s="20"/>
      <c r="L10" s="31" t="s">
        <v>165</v>
      </c>
      <c r="M10" s="33" t="str">
        <f aca="false">IF($U$4=0,"",IF($U$67=1,$U$68/10,"nicht bestanden"))</f>
        <v/>
      </c>
      <c r="N10" s="29"/>
      <c r="T10" s="15" t="s">
        <v>166</v>
      </c>
      <c r="U10" s="15" t="n">
        <f aca="false">BA9+SUM($AB$11:$AB$24)</f>
        <v>0</v>
      </c>
      <c r="V10" s="15" t="n">
        <f aca="false">BI9+SUM($AF$11:$AF$24)</f>
        <v>0</v>
      </c>
      <c r="X10" s="15" t="s">
        <v>171</v>
      </c>
      <c r="Y10" s="15" t="s">
        <v>172</v>
      </c>
      <c r="Z10" s="15" t="s">
        <v>173</v>
      </c>
      <c r="AA10" s="15" t="s">
        <v>174</v>
      </c>
      <c r="AB10" s="15" t="s">
        <v>127</v>
      </c>
      <c r="AC10" s="15" t="s">
        <v>128</v>
      </c>
      <c r="AD10" s="15" t="s">
        <v>175</v>
      </c>
      <c r="AE10" s="15" t="s">
        <v>176</v>
      </c>
      <c r="AF10" s="15" t="s">
        <v>135</v>
      </c>
      <c r="BZ10" s="15" t="n">
        <f aca="false">IFERROR(LARGE($AH$6:$AK$24,9),0)</f>
        <v>0</v>
      </c>
      <c r="CA10" s="15" t="n">
        <f aca="false">CA9+BZ10</f>
        <v>0</v>
      </c>
      <c r="CB10" s="15" t="n">
        <f aca="false">IFERROR(LARGE($AM$6:$AP$24,9),0)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36" t="s">
        <v>177</v>
      </c>
      <c r="C11" s="37"/>
      <c r="D11" s="38"/>
      <c r="E11" s="24"/>
      <c r="F11" s="24"/>
      <c r="G11" s="24"/>
      <c r="H11" s="24"/>
      <c r="I11" s="39"/>
      <c r="J11" s="39"/>
      <c r="L11" s="26" t="s">
        <v>169</v>
      </c>
      <c r="M11" s="28" t="str">
        <f aca="false">IF($U$4=0,"",IF($U$69="","–",$U$69))</f>
        <v/>
      </c>
      <c r="N11" s="29" t="str">
        <f aca="false">IF($U$4=0,"",IF($U$68="","Punkte bis 300",IF($U$69="","Bestnote erreicht","Punkte → "&amp;FIXED(($U$68-1)/10,1))))</f>
        <v/>
      </c>
      <c r="T11" s="15" t="s">
        <v>170</v>
      </c>
      <c r="U11" s="15" t="n">
        <f aca="false">AW9+AX9+SUM($Z$11:$Z$24)</f>
        <v>0</v>
      </c>
      <c r="V11" s="15" t="n">
        <f aca="false">BE9+BF9+SUM($AD$11:$AD$24)</f>
        <v>28</v>
      </c>
      <c r="X11" s="15" t="n">
        <f aca="false">IF(OR(LEN(TRIM(C11))&gt;0,COUNT(E11:H11)&gt;0),1,0)</f>
        <v>0</v>
      </c>
      <c r="Y11" s="15" t="n">
        <f aca="false">IF(LEN(TRIM(D11))&gt;0,1,0)</f>
        <v>0</v>
      </c>
      <c r="Z11" s="15" t="n">
        <f aca="false">Y11*SUM(E11:H11)</f>
        <v>0</v>
      </c>
      <c r="AA11" s="15" t="n">
        <f aca="false">Y11*COUNT(E11:H11)</f>
        <v>0</v>
      </c>
      <c r="AB11" s="15" t="n">
        <f aca="false">Y11*COUNTIF(E11:H11,"&lt;5")</f>
        <v>0</v>
      </c>
      <c r="AC11" s="15" t="n">
        <f aca="false">Y11*COUNTIF(E11:H11,0)</f>
        <v>0</v>
      </c>
      <c r="AD11" s="15" t="n">
        <f aca="false">Y11*(SUM(E11:H11)+X11*$U$2*(4-COUNT(E11:H11)))</f>
        <v>0</v>
      </c>
      <c r="AE11" s="15" t="n">
        <f aca="false">Y11*(COUNT(E11:H11)+X11*(4-COUNT(E11:H11)))</f>
        <v>0</v>
      </c>
      <c r="AF11" s="15" t="n">
        <f aca="false">Y11*(COUNTIF(E11:H11,"&lt;5")+X11*IF($U$2&lt;5,1,0)*(4-COUNT(E11:H11)))</f>
        <v>0</v>
      </c>
      <c r="AH11" s="15" t="str">
        <f aca="false">IF(Y11=1,"",IF(ISNUMBER(E11),IF(E11=0,"",E11),""))</f>
        <v/>
      </c>
      <c r="AI11" s="15" t="str">
        <f aca="false">IF(Y11=1,"",IF(ISNUMBER(F11),IF(F11=0,"",F11),""))</f>
        <v/>
      </c>
      <c r="AJ11" s="15" t="str">
        <f aca="false">IF(Y11=1,"",IF(ISNUMBER(G11),IF(G11=0,"",G11),""))</f>
        <v/>
      </c>
      <c r="AK11" s="15" t="str">
        <f aca="false">IF(Y11=1,"",IF(ISNUMBER(H11),IF(H11=0,"",H11),""))</f>
        <v/>
      </c>
      <c r="AM11" s="15" t="str">
        <f aca="false">IF(Y11=1,"",IF(ISNUMBER(E11),IF(E11=0,"",E11),IF(X11=1,$U$2,"")))</f>
        <v/>
      </c>
      <c r="AN11" s="15" t="str">
        <f aca="false">IF(Y11=1,"",IF(ISNUMBER(F11),IF(F11=0,"",F11),IF(X11=1,$U$2,"")))</f>
        <v/>
      </c>
      <c r="AO11" s="15" t="str">
        <f aca="false">IF(Y11=1,"",IF(ISNUMBER(G11),IF(G11=0,"",G11),IF(X11=1,$U$2,"")))</f>
        <v/>
      </c>
      <c r="AP11" s="15" t="str">
        <f aca="false">IF(Y11=1,"",IF(ISNUMBER(H11),IF(H11=0,"",H11),IF(X11=1,$U$2,"")))</f>
        <v/>
      </c>
      <c r="AR11" s="15" t="n">
        <f aca="false">IF(Y11=1,IF(ISNUMBER(E11),1,0),IF(AH11="",0,IF(IF($U$36=1,COUNTIF($AH$6:$AK$24,"&gt;"&amp;AH11),COUNTIF($AM$6:$AP$24,"&gt;"&amp;AH11))+COUNTIF($AH$6:$AK$10,AH11)+1&lt;=$U$46,1,0)))</f>
        <v>0</v>
      </c>
      <c r="AS11" s="15" t="n">
        <f aca="false">IF(Y11=1,IF(ISNUMBER(F11),1,0),IF(AI11="",0,IF(IF($U$36=1,COUNTIF($AH$6:$AK$24,"&gt;"&amp;AI11),COUNTIF($AM$6:$AP$24,"&gt;"&amp;AI11))+COUNTIF($AH$6:$AK$10,AI11)+COUNTIF($AH11:AH11,AI11)+1&lt;=$U$46,1,0)))</f>
        <v>0</v>
      </c>
      <c r="AT11" s="15" t="n">
        <f aca="false">IF(Y11=1,IF(ISNUMBER(G11),1,0),IF(AJ11="",0,IF(IF($U$36=1,COUNTIF($AH$6:$AK$24,"&gt;"&amp;AJ11),COUNTIF($AM$6:$AP$24,"&gt;"&amp;AJ11))+COUNTIF($AH$6:$AK$10,AJ11)+COUNTIF($AH11:AI11,AJ11)+1&lt;=$U$46,1,0)))</f>
        <v>0</v>
      </c>
      <c r="AU11" s="15" t="n">
        <f aca="false">IF(Y11=1,IF(ISNUMBER(H11),1,0),IF(AK11="",0,IF(IF($U$36=1,COUNTIF($AH$6:$AK$24,"&gt;"&amp;AK11),COUNTIF($AM$6:$AP$24,"&gt;"&amp;AK11))+COUNTIF($AH$6:$AK$10,AK11)+COUNTIF($AH11:AJ11,AK11)+1&lt;=$U$46,1,0)))</f>
        <v>0</v>
      </c>
      <c r="BZ11" s="15" t="n">
        <f aca="false">IFERROR(LARGE($AH$6:$AK$24,10),0)</f>
        <v>0</v>
      </c>
      <c r="CA11" s="15" t="n">
        <f aca="false">CA10+BZ11</f>
        <v>0</v>
      </c>
      <c r="CB11" s="15" t="n">
        <f aca="false">IFERROR(LARGE($AM$6:$AP$24,10),0)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6" t="s">
        <v>180</v>
      </c>
      <c r="C12" s="37"/>
      <c r="D12" s="38"/>
      <c r="E12" s="24"/>
      <c r="F12" s="24"/>
      <c r="G12" s="24"/>
      <c r="H12" s="24"/>
      <c r="I12" s="39"/>
      <c r="J12" s="39"/>
      <c r="L12" s="26" t="s">
        <v>178</v>
      </c>
      <c r="M12" s="28" t="str">
        <f aca="false">IF(OR($U$4=0,$U$70=""),"",$U$70)</f>
        <v/>
      </c>
      <c r="N12" s="29" t="str">
        <f aca="false">IF(OR($U$4=0,$U$70=""),"","Punkte Luft")</f>
        <v/>
      </c>
      <c r="T12" s="15" t="s">
        <v>179</v>
      </c>
      <c r="U12" s="15" t="n">
        <f aca="false">BB6+BB7+BB8+BB9+SUM($AC$11:$AC$24)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IF(Y12=1,IF(ISNUMBER(E12),1,0),IF(AH12="",0,IF(IF($U$36=1,COUNTIF($AH$6:$AK$24,"&gt;"&amp;AH12),COUNTIF($AM$6:$AP$24,"&gt;"&amp;AH12))+COUNTIF($AH$6:$AK$11,AH12)+1&lt;=$U$46,1,0)))</f>
        <v>0</v>
      </c>
      <c r="AS12" s="15" t="n">
        <f aca="false">IF(Y12=1,IF(ISNUMBER(F12),1,0),IF(AI12="",0,IF(IF($U$36=1,COUNTIF($AH$6:$AK$24,"&gt;"&amp;AI12),COUNTIF($AM$6:$AP$24,"&gt;"&amp;AI12))+COUNTIF($AH$6:$AK$11,AI12)+COUNTIF($AH12:AH12,AI12)+1&lt;=$U$46,1,0)))</f>
        <v>0</v>
      </c>
      <c r="AT12" s="15" t="n">
        <f aca="false">IF(Y12=1,IF(ISNUMBER(G12),1,0),IF(AJ12="",0,IF(IF($U$36=1,COUNTIF($AH$6:$AK$24,"&gt;"&amp;AJ12),COUNTIF($AM$6:$AP$24,"&gt;"&amp;AJ12))+COUNTIF($AH$6:$AK$11,AJ12)+COUNTIF($AH12:AI12,AJ12)+1&lt;=$U$46,1,0)))</f>
        <v>0</v>
      </c>
      <c r="AU12" s="15" t="n">
        <f aca="false">IF(Y12=1,IF(ISNUMBER(H12),1,0),IF(AK12="",0,IF(IF($U$36=1,COUNTIF($AH$6:$AK$24,"&gt;"&amp;AK12),COUNTIF($AM$6:$AP$24,"&gt;"&amp;AK12))+COUNTIF($AH$6:$AK$11,AK12)+COUNTIF($AH12:AJ12,AK12)+1&lt;=$U$46,1,0)))</f>
        <v>0</v>
      </c>
      <c r="BZ12" s="15" t="n">
        <f aca="false">IFERROR(LARGE($AH$6:$AK$24,11),0)</f>
        <v>0</v>
      </c>
      <c r="CA12" s="15" t="n">
        <f aca="false">CA11+BZ12</f>
        <v>0</v>
      </c>
      <c r="CB12" s="15" t="n">
        <f aca="false">IFERROR(LARGE($AM$6:$AP$24,11),0)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183</v>
      </c>
      <c r="C13" s="37"/>
      <c r="D13" s="38"/>
      <c r="E13" s="24"/>
      <c r="F13" s="24"/>
      <c r="G13" s="24"/>
      <c r="H13" s="24"/>
      <c r="I13" s="39"/>
      <c r="J13" s="39"/>
      <c r="L13" s="26" t="s">
        <v>181</v>
      </c>
      <c r="M13" s="28" t="str">
        <f aca="false">IF($U$4=0,"",$U$38)</f>
        <v/>
      </c>
      <c r="N13" s="29" t="str">
        <f aca="false">IF($U$4=0,"","Formel: "&amp;FIXED($U$45,1)&amp;" / "&amp;44&amp;" × 40")</f>
        <v/>
      </c>
      <c r="T13" s="15" t="s">
        <v>182</v>
      </c>
      <c r="U13" s="15" t="n">
        <f aca="false">MATCH(MAX($DH$3:$DH$5),$DH$3:$DH$5,0)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IF(Y13=1,IF(ISNUMBER(E13),1,0),IF(AH13="",0,IF(IF($U$36=1,COUNTIF($AH$6:$AK$24,"&gt;"&amp;AH13),COUNTIF($AM$6:$AP$24,"&gt;"&amp;AH13))+COUNTIF($AH$6:$AK$12,AH13)+1&lt;=$U$46,1,0)))</f>
        <v>0</v>
      </c>
      <c r="AS13" s="15" t="n">
        <f aca="false">IF(Y13=1,IF(ISNUMBER(F13),1,0),IF(AI13="",0,IF(IF($U$36=1,COUNTIF($AH$6:$AK$24,"&gt;"&amp;AI13),COUNTIF($AM$6:$AP$24,"&gt;"&amp;AI13))+COUNTIF($AH$6:$AK$12,AI13)+COUNTIF($AH13:AH13,AI13)+1&lt;=$U$46,1,0)))</f>
        <v>0</v>
      </c>
      <c r="AT13" s="15" t="n">
        <f aca="false">IF(Y13=1,IF(ISNUMBER(G13),1,0),IF(AJ13="",0,IF(IF($U$36=1,COUNTIF($AH$6:$AK$24,"&gt;"&amp;AJ13),COUNTIF($AM$6:$AP$24,"&gt;"&amp;AJ13))+COUNTIF($AH$6:$AK$12,AJ13)+COUNTIF($AH13:AI13,AJ13)+1&lt;=$U$46,1,0)))</f>
        <v>0</v>
      </c>
      <c r="AU13" s="15" t="n">
        <f aca="false">IF(Y13=1,IF(ISNUMBER(H13),1,0),IF(AK13="",0,IF(IF($U$36=1,COUNTIF($AH$6:$AK$24,"&gt;"&amp;AK13),COUNTIF($AM$6:$AP$24,"&gt;"&amp;AK13))+COUNTIF($AH$6:$AK$12,AK13)+COUNTIF($AH13:AJ13,AK13)+1&lt;=$U$46,1,0)))</f>
        <v>0</v>
      </c>
      <c r="BZ13" s="15" t="n">
        <f aca="false">IFERROR(LARGE($AH$6:$AK$24,12),0)</f>
        <v>0</v>
      </c>
      <c r="CA13" s="15" t="n">
        <f aca="false">CA12+BZ13</f>
        <v>0</v>
      </c>
      <c r="CB13" s="15" t="n">
        <f aca="false">IFERROR(LARGE($AM$6:$AP$24,12),0)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186</v>
      </c>
      <c r="C14" s="37"/>
      <c r="D14" s="38"/>
      <c r="E14" s="24"/>
      <c r="F14" s="24"/>
      <c r="G14" s="24"/>
      <c r="H14" s="24"/>
      <c r="I14" s="39"/>
      <c r="J14" s="39"/>
      <c r="L14" s="26" t="s">
        <v>184</v>
      </c>
      <c r="M14" s="28" t="str">
        <f aca="false">IF($U$4=0,"",$U$39)</f>
        <v/>
      </c>
      <c r="N14" s="29" t="str">
        <f aca="false">IF($U$4=0,"","erlaubt: höchstens "&amp;$U$40)</f>
        <v/>
      </c>
      <c r="T14" s="15" t="s">
        <v>185</v>
      </c>
      <c r="U14" s="15" t="n">
        <f aca="false">MATCH(MAX($DH$23:$DH$25),$DH$23:$DH$25,0)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IF(Y14=1,IF(ISNUMBER(E14),1,0),IF(AH14="",0,IF(IF($U$36=1,COUNTIF($AH$6:$AK$24,"&gt;"&amp;AH14),COUNTIF($AM$6:$AP$24,"&gt;"&amp;AH14))+COUNTIF($AH$6:$AK$13,AH14)+1&lt;=$U$46,1,0)))</f>
        <v>0</v>
      </c>
      <c r="AS14" s="15" t="n">
        <f aca="false">IF(Y14=1,IF(ISNUMBER(F14),1,0),IF(AI14="",0,IF(IF($U$36=1,COUNTIF($AH$6:$AK$24,"&gt;"&amp;AI14),COUNTIF($AM$6:$AP$24,"&gt;"&amp;AI14))+COUNTIF($AH$6:$AK$13,AI14)+COUNTIF($AH14:AH14,AI14)+1&lt;=$U$46,1,0)))</f>
        <v>0</v>
      </c>
      <c r="AT14" s="15" t="n">
        <f aca="false">IF(Y14=1,IF(ISNUMBER(G14),1,0),IF(AJ14="",0,IF(IF($U$36=1,COUNTIF($AH$6:$AK$24,"&gt;"&amp;AJ14),COUNTIF($AM$6:$AP$24,"&gt;"&amp;AJ14))+COUNTIF($AH$6:$AK$13,AJ14)+COUNTIF($AH14:AI14,AJ14)+1&lt;=$U$46,1,0)))</f>
        <v>0</v>
      </c>
      <c r="AU14" s="15" t="n">
        <f aca="false">IF(Y14=1,IF(ISNUMBER(H14),1,0),IF(AK14="",0,IF(IF($U$36=1,COUNTIF($AH$6:$AK$24,"&gt;"&amp;AK14),COUNTIF($AM$6:$AP$24,"&gt;"&amp;AK14))+COUNTIF($AH$6:$AK$13,AK14)+COUNTIF($AH14:AJ14,AK14)+1&lt;=$U$46,1,0)))</f>
        <v>0</v>
      </c>
      <c r="BZ14" s="15" t="n">
        <f aca="false">IFERROR(LARGE($AH$6:$AK$24,13),0)</f>
        <v>0</v>
      </c>
      <c r="CA14" s="15" t="n">
        <f aca="false">CA13+BZ14</f>
        <v>0</v>
      </c>
      <c r="CB14" s="15" t="n">
        <f aca="false">IFERROR(LARGE($AM$6:$AP$24,13),0)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190</v>
      </c>
      <c r="C15" s="37"/>
      <c r="D15" s="38"/>
      <c r="E15" s="24"/>
      <c r="F15" s="24"/>
      <c r="G15" s="24"/>
      <c r="H15" s="24"/>
      <c r="I15" s="39"/>
      <c r="J15" s="39"/>
      <c r="L15" s="26" t="s">
        <v>187</v>
      </c>
      <c r="M15" s="28" t="str">
        <f aca="false">IF($U$4=0,"","+"&amp;$U$16)</f>
        <v/>
      </c>
      <c r="N15" s="29" t="s">
        <v>188</v>
      </c>
      <c r="T15" s="15" t="s">
        <v>337</v>
      </c>
      <c r="U15" s="15" t="n">
        <f aca="false">IF(ISNUMBER($I$26),1,0)</f>
        <v>0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IF(Y15=1,IF(ISNUMBER(E15),1,0),IF(AH15="",0,IF(IF($U$36=1,COUNTIF($AH$6:$AK$24,"&gt;"&amp;AH15),COUNTIF($AM$6:$AP$24,"&gt;"&amp;AH15))+COUNTIF($AH$6:$AK$14,AH15)+1&lt;=$U$46,1,0)))</f>
        <v>0</v>
      </c>
      <c r="AS15" s="15" t="n">
        <f aca="false">IF(Y15=1,IF(ISNUMBER(F15),1,0),IF(AI15="",0,IF(IF($U$36=1,COUNTIF($AH$6:$AK$24,"&gt;"&amp;AI15),COUNTIF($AM$6:$AP$24,"&gt;"&amp;AI15))+COUNTIF($AH$6:$AK$14,AI15)+COUNTIF($AH15:AH15,AI15)+1&lt;=$U$46,1,0)))</f>
        <v>0</v>
      </c>
      <c r="AT15" s="15" t="n">
        <f aca="false">IF(Y15=1,IF(ISNUMBER(G15),1,0),IF(AJ15="",0,IF(IF($U$36=1,COUNTIF($AH$6:$AK$24,"&gt;"&amp;AJ15),COUNTIF($AM$6:$AP$24,"&gt;"&amp;AJ15))+COUNTIF($AH$6:$AK$14,AJ15)+COUNTIF($AH15:AI15,AJ15)+1&lt;=$U$46,1,0)))</f>
        <v>0</v>
      </c>
      <c r="AU15" s="15" t="n">
        <f aca="false">IF(Y15=1,IF(ISNUMBER(H15),1,0),IF(AK15="",0,IF(IF($U$36=1,COUNTIF($AH$6:$AK$24,"&gt;"&amp;AK15),COUNTIF($AM$6:$AP$24,"&gt;"&amp;AK15))+COUNTIF($AH$6:$AK$14,AK15)+COUNTIF($AH15:AJ15,AK15)+1&lt;=$U$46,1,0)))</f>
        <v>0</v>
      </c>
      <c r="BZ15" s="15" t="n">
        <f aca="false">IFERROR(LARGE($AH$6:$AK$24,14),0)</f>
        <v>0</v>
      </c>
      <c r="CA15" s="15" t="n">
        <f aca="false">CA14+BZ15</f>
        <v>0</v>
      </c>
      <c r="CB15" s="15" t="n">
        <f aca="false">IFERROR(LARGE($AM$6:$AP$24,14),0)</f>
        <v>0</v>
      </c>
      <c r="CC15" s="15" t="n">
        <f aca="false">CC14+CB15</f>
        <v>0</v>
      </c>
    </row>
    <row r="16" customFormat="false" ht="15" hidden="false" customHeight="false" outlineLevel="0" collapsed="false">
      <c r="B16" s="36" t="s">
        <v>194</v>
      </c>
      <c r="C16" s="37"/>
      <c r="D16" s="38"/>
      <c r="E16" s="24"/>
      <c r="F16" s="24"/>
      <c r="G16" s="24"/>
      <c r="H16" s="24"/>
      <c r="I16" s="39"/>
      <c r="J16" s="39"/>
      <c r="L16" s="26" t="s">
        <v>191</v>
      </c>
      <c r="M16" s="28" t="str">
        <f aca="false">IF($U$4=0,"","≈ +"&amp;FIXED(40/44,2))</f>
        <v/>
      </c>
      <c r="N16" s="29" t="s">
        <v>192</v>
      </c>
      <c r="T16" s="15" t="s">
        <v>189</v>
      </c>
      <c r="U16" s="15" t="n">
        <f aca="false">IF($U$15=1,4,5)</f>
        <v>5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IF(Y16=1,IF(ISNUMBER(E16),1,0),IF(AH16="",0,IF(IF($U$36=1,COUNTIF($AH$6:$AK$24,"&gt;"&amp;AH16),COUNTIF($AM$6:$AP$24,"&gt;"&amp;AH16))+COUNTIF($AH$6:$AK$15,AH16)+1&lt;=$U$46,1,0)))</f>
        <v>0</v>
      </c>
      <c r="AS16" s="15" t="n">
        <f aca="false">IF(Y16=1,IF(ISNUMBER(F16),1,0),IF(AI16="",0,IF(IF($U$36=1,COUNTIF($AH$6:$AK$24,"&gt;"&amp;AI16),COUNTIF($AM$6:$AP$24,"&gt;"&amp;AI16))+COUNTIF($AH$6:$AK$15,AI16)+COUNTIF($AH16:AH16,AI16)+1&lt;=$U$46,1,0)))</f>
        <v>0</v>
      </c>
      <c r="AT16" s="15" t="n">
        <f aca="false">IF(Y16=1,IF(ISNUMBER(G16),1,0),IF(AJ16="",0,IF(IF($U$36=1,COUNTIF($AH$6:$AK$24,"&gt;"&amp;AJ16),COUNTIF($AM$6:$AP$24,"&gt;"&amp;AJ16))+COUNTIF($AH$6:$AK$15,AJ16)+COUNTIF($AH16:AI16,AJ16)+1&lt;=$U$46,1,0)))</f>
        <v>0</v>
      </c>
      <c r="AU16" s="15" t="n">
        <f aca="false">IF(Y16=1,IF(ISNUMBER(H16),1,0),IF(AK16="",0,IF(IF($U$36=1,COUNTIF($AH$6:$AK$24,"&gt;"&amp;AK16),COUNTIF($AM$6:$AP$24,"&gt;"&amp;AK16))+COUNTIF($AH$6:$AK$15,AK16)+COUNTIF($AH16:AJ16,AK16)+1&lt;=$U$46,1,0)))</f>
        <v>0</v>
      </c>
      <c r="BZ16" s="15" t="n">
        <f aca="false">IFERROR(LARGE($AH$6:$AK$24,15),0)</f>
        <v>0</v>
      </c>
      <c r="CA16" s="15" t="n">
        <f aca="false">CA15+BZ16</f>
        <v>0</v>
      </c>
      <c r="CB16" s="15" t="n">
        <f aca="false">IFERROR(LARGE($AM$6:$AP$24,15),0)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196</v>
      </c>
      <c r="C17" s="37"/>
      <c r="D17" s="38"/>
      <c r="E17" s="24"/>
      <c r="F17" s="24"/>
      <c r="G17" s="24"/>
      <c r="H17" s="24"/>
      <c r="I17" s="39"/>
      <c r="J17" s="39"/>
      <c r="T17" s="15" t="s">
        <v>193</v>
      </c>
      <c r="U17" s="15" t="n">
        <f aca="false">MIN(300,INT((SUM(BO6,BO7,BO8,BO9,BO26))+0.5+0.000000001))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IF(Y17=1,IF(ISNUMBER(E17),1,0),IF(AH17="",0,IF(IF($U$36=1,COUNTIF($AH$6:$AK$24,"&gt;"&amp;AH17),COUNTIF($AM$6:$AP$24,"&gt;"&amp;AH17))+COUNTIF($AH$6:$AK$16,AH17)+1&lt;=$U$46,1,0)))</f>
        <v>0</v>
      </c>
      <c r="AS17" s="15" t="n">
        <f aca="false">IF(Y17=1,IF(ISNUMBER(F17),1,0),IF(AI17="",0,IF(IF($U$36=1,COUNTIF($AH$6:$AK$24,"&gt;"&amp;AI17),COUNTIF($AM$6:$AP$24,"&gt;"&amp;AI17))+COUNTIF($AH$6:$AK$16,AI17)+COUNTIF($AH17:AH17,AI17)+1&lt;=$U$46,1,0)))</f>
        <v>0</v>
      </c>
      <c r="AT17" s="15" t="n">
        <f aca="false">IF(Y17=1,IF(ISNUMBER(G17),1,0),IF(AJ17="",0,IF(IF($U$36=1,COUNTIF($AH$6:$AK$24,"&gt;"&amp;AJ17),COUNTIF($AM$6:$AP$24,"&gt;"&amp;AJ17))+COUNTIF($AH$6:$AK$16,AJ17)+COUNTIF($AH17:AI17,AJ17)+1&lt;=$U$46,1,0)))</f>
        <v>0</v>
      </c>
      <c r="AU17" s="15" t="n">
        <f aca="false">IF(Y17=1,IF(ISNUMBER(H17),1,0),IF(AK17="",0,IF(IF($U$36=1,COUNTIF($AH$6:$AK$24,"&gt;"&amp;AK17),COUNTIF($AM$6:$AP$24,"&gt;"&amp;AK17))+COUNTIF($AH$6:$AK$16,AK17)+COUNTIF($AH17:AJ17,AK17)+1&lt;=$U$46,1,0)))</f>
        <v>0</v>
      </c>
      <c r="BZ17" s="15" t="n">
        <f aca="false">IFERROR(LARGE($AH$6:$AK$24,16),0)</f>
        <v>0</v>
      </c>
      <c r="CA17" s="15" t="n">
        <f aca="false">CA16+BZ17</f>
        <v>0</v>
      </c>
      <c r="CB17" s="15" t="n">
        <f aca="false">IFERROR(LARGE($AM$6:$AP$24,16),0)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200</v>
      </c>
      <c r="C18" s="37"/>
      <c r="D18" s="38"/>
      <c r="E18" s="24"/>
      <c r="F18" s="24"/>
      <c r="G18" s="24"/>
      <c r="H18" s="24"/>
      <c r="I18" s="39"/>
      <c r="J18" s="39"/>
      <c r="L18" s="40" t="s">
        <v>197</v>
      </c>
      <c r="M18" s="41" t="s">
        <v>149</v>
      </c>
      <c r="N18" s="6" t="s">
        <v>198</v>
      </c>
      <c r="T18" s="15" t="s">
        <v>195</v>
      </c>
      <c r="U18" s="15" t="n">
        <f aca="false">SUM(BP6,BP7,BP8,BP9,BP26)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IF(Y18=1,IF(ISNUMBER(E18),1,0),IF(AH18="",0,IF(IF($U$36=1,COUNTIF($AH$6:$AK$24,"&gt;"&amp;AH18),COUNTIF($AM$6:$AP$24,"&gt;"&amp;AH18))+COUNTIF($AH$6:$AK$17,AH18)+1&lt;=$U$46,1,0)))</f>
        <v>0</v>
      </c>
      <c r="AS18" s="15" t="n">
        <f aca="false">IF(Y18=1,IF(ISNUMBER(F18),1,0),IF(AI18="",0,IF(IF($U$36=1,COUNTIF($AH$6:$AK$24,"&gt;"&amp;AI18),COUNTIF($AM$6:$AP$24,"&gt;"&amp;AI18))+COUNTIF($AH$6:$AK$17,AI18)+COUNTIF($AH18:AH18,AI18)+1&lt;=$U$46,1,0)))</f>
        <v>0</v>
      </c>
      <c r="AT18" s="15" t="n">
        <f aca="false">IF(Y18=1,IF(ISNUMBER(G18),1,0),IF(AJ18="",0,IF(IF($U$36=1,COUNTIF($AH$6:$AK$24,"&gt;"&amp;AJ18),COUNTIF($AM$6:$AP$24,"&gt;"&amp;AJ18))+COUNTIF($AH$6:$AK$17,AJ18)+COUNTIF($AH18:AI18,AJ18)+1&lt;=$U$46,1,0)))</f>
        <v>0</v>
      </c>
      <c r="AU18" s="15" t="n">
        <f aca="false">IF(Y18=1,IF(ISNUMBER(H18),1,0),IF(AK18="",0,IF(IF($U$36=1,COUNTIF($AH$6:$AK$24,"&gt;"&amp;AK18),COUNTIF($AM$6:$AP$24,"&gt;"&amp;AK18))+COUNTIF($AH$6:$AK$17,AK18)+COUNTIF($AH18:AJ18,AK18)+1&lt;=$U$46,1,0)))</f>
        <v>0</v>
      </c>
      <c r="BZ18" s="15" t="n">
        <f aca="false">IFERROR(LARGE($AH$6:$AK$24,17),0)</f>
        <v>0</v>
      </c>
      <c r="CA18" s="15" t="n">
        <f aca="false">CA17+BZ18</f>
        <v>0</v>
      </c>
      <c r="CB18" s="15" t="n">
        <f aca="false">IFERROR(LARGE($AM$6:$AP$24,17),0)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203</v>
      </c>
      <c r="C19" s="37"/>
      <c r="D19" s="38"/>
      <c r="E19" s="24"/>
      <c r="F19" s="24"/>
      <c r="G19" s="24"/>
      <c r="H19" s="24"/>
      <c r="I19" s="39"/>
      <c r="J19" s="39"/>
      <c r="L19" s="42" t="s">
        <v>201</v>
      </c>
      <c r="M19" s="43" t="str">
        <f aca="false">IF($U$4=0,"",IF($U$48=1,"✓ erfüllt","✗ nicht erfüllt"))</f>
        <v/>
      </c>
      <c r="N19" s="36" t="str">
        <f aca="false">IF($U$4=0,"",$U$37&amp;" Punkte")</f>
        <v/>
      </c>
      <c r="T19" s="15" t="s">
        <v>199</v>
      </c>
      <c r="U19" s="15" t="n">
        <f aca="false">0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IF(Y19=1,IF(ISNUMBER(E19),1,0),IF(AH19="",0,IF(IF($U$36=1,COUNTIF($AH$6:$AK$24,"&gt;"&amp;AH19),COUNTIF($AM$6:$AP$24,"&gt;"&amp;AH19))+COUNTIF($AH$6:$AK$18,AH19)+1&lt;=$U$46,1,0)))</f>
        <v>0</v>
      </c>
      <c r="AS19" s="15" t="n">
        <f aca="false">IF(Y19=1,IF(ISNUMBER(F19),1,0),IF(AI19="",0,IF(IF($U$36=1,COUNTIF($AH$6:$AK$24,"&gt;"&amp;AI19),COUNTIF($AM$6:$AP$24,"&gt;"&amp;AI19))+COUNTIF($AH$6:$AK$18,AI19)+COUNTIF($AH19:AH19,AI19)+1&lt;=$U$46,1,0)))</f>
        <v>0</v>
      </c>
      <c r="AT19" s="15" t="n">
        <f aca="false">IF(Y19=1,IF(ISNUMBER(G19),1,0),IF(AJ19="",0,IF(IF($U$36=1,COUNTIF($AH$6:$AK$24,"&gt;"&amp;AJ19),COUNTIF($AM$6:$AP$24,"&gt;"&amp;AJ19))+COUNTIF($AH$6:$AK$18,AJ19)+COUNTIF($AH19:AI19,AJ19)+1&lt;=$U$46,1,0)))</f>
        <v>0</v>
      </c>
      <c r="AU19" s="15" t="n">
        <f aca="false">IF(Y19=1,IF(ISNUMBER(H19),1,0),IF(AK19="",0,IF(IF($U$36=1,COUNTIF($AH$6:$AK$24,"&gt;"&amp;AK19),COUNTIF($AM$6:$AP$24,"&gt;"&amp;AK19))+COUNTIF($AH$6:$AK$18,AK19)+COUNTIF($AH19:AJ19,AK19)+1&lt;=$U$46,1,0)))</f>
        <v>0</v>
      </c>
      <c r="BZ19" s="15" t="n">
        <f aca="false">IFERROR(LARGE($AH$6:$AK$24,18),0)</f>
        <v>0</v>
      </c>
      <c r="CA19" s="15" t="n">
        <f aca="false">CA18+BZ19</f>
        <v>0</v>
      </c>
      <c r="CB19" s="15" t="n">
        <f aca="false">IFERROR(LARGE($AM$6:$AP$24,18),0)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205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"&amp;$U$40&amp;" Unterkurse (unter 5 Punkten)"</f>
        <v>Höchstens 7 Unterkurse (unter 5 Punkten)</v>
      </c>
      <c r="M20" s="43" t="str">
        <f aca="false">IF($U$4=0,"",IF($U$49=1,"✓ erfüllt","✗ nicht erfüllt"))</f>
        <v/>
      </c>
      <c r="N20" s="36" t="str">
        <f aca="false">IF($U$4=0,"",$U$39&amp;" Unterkurse")</f>
        <v/>
      </c>
      <c r="T20" s="15" t="s">
        <v>202</v>
      </c>
      <c r="U20" s="15" t="n">
        <f aca="false">BQ6+BQ7+BQ8+BQ9+BQ26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IF(Y20=1,IF(ISNUMBER(E20),1,0),IF(AH20="",0,IF(IF($U$36=1,COUNTIF($AH$6:$AK$24,"&gt;"&amp;AH20),COUNTIF($AM$6:$AP$24,"&gt;"&amp;AH20))+COUNTIF($AH$6:$AK$19,AH20)+1&lt;=$U$46,1,0)))</f>
        <v>0</v>
      </c>
      <c r="AS20" s="15" t="n">
        <f aca="false">IF(Y20=1,IF(ISNUMBER(F20),1,0),IF(AI20="",0,IF(IF($U$36=1,COUNTIF($AH$6:$AK$24,"&gt;"&amp;AI20),COUNTIF($AM$6:$AP$24,"&gt;"&amp;AI20))+COUNTIF($AH$6:$AK$19,AI20)+COUNTIF($AH20:AH20,AI20)+1&lt;=$U$46,1,0)))</f>
        <v>0</v>
      </c>
      <c r="AT20" s="15" t="n">
        <f aca="false">IF(Y20=1,IF(ISNUMBER(G20),1,0),IF(AJ20="",0,IF(IF($U$36=1,COUNTIF($AH$6:$AK$24,"&gt;"&amp;AJ20),COUNTIF($AM$6:$AP$24,"&gt;"&amp;AJ20))+COUNTIF($AH$6:$AK$19,AJ20)+COUNTIF($AH20:AI20,AJ20)+1&lt;=$U$46,1,0)))</f>
        <v>0</v>
      </c>
      <c r="AU20" s="15" t="n">
        <f aca="false">IF(Y20=1,IF(ISNUMBER(H20),1,0),IF(AK20="",0,IF(IF($U$36=1,COUNTIF($AH$6:$AK$24,"&gt;"&amp;AK20),COUNTIF($AM$6:$AP$24,"&gt;"&amp;AK20))+COUNTIF($AH$6:$AK$19,AK20)+COUNTIF($AH20:AJ20,AK20)+1&lt;=$U$46,1,0)))</f>
        <v>0</v>
      </c>
      <c r="BZ20" s="15" t="n">
        <f aca="false">IFERROR(LARGE($AH$6:$AK$24,19),0)</f>
        <v>0</v>
      </c>
      <c r="CA20" s="15" t="n">
        <f aca="false">CA19+BZ20</f>
        <v>0</v>
      </c>
      <c r="CB20" s="15" t="n">
        <f aca="false">IFERROR(LARGE($AM$6:$AP$24,19),0)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208</v>
      </c>
      <c r="C21" s="37"/>
      <c r="D21" s="38"/>
      <c r="E21" s="24"/>
      <c r="F21" s="24"/>
      <c r="G21" s="24"/>
      <c r="H21" s="24"/>
      <c r="I21" s="39"/>
      <c r="J21" s="39"/>
      <c r="L21" s="42" t="s">
        <v>209</v>
      </c>
      <c r="M21" s="43" t="str">
        <f aca="false">IF($U$4=0,"",IF($U$54=1,"✓ erfüllt","✗ nicht erfüllt"))</f>
        <v/>
      </c>
      <c r="N21" s="36" t="str">
        <f aca="false">IF($U$4=0,"",$U$12&amp;" mit 0 Punkten")</f>
        <v/>
      </c>
      <c r="T21" s="15" t="s">
        <v>204</v>
      </c>
      <c r="U21" s="15" t="n">
        <f aca="false">BR6+BR7+BR8+BR9+BR26</f>
        <v>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IF(Y21=1,IF(ISNUMBER(E21),1,0),IF(AH21="",0,IF(IF($U$36=1,COUNTIF($AH$6:$AK$24,"&gt;"&amp;AH21),COUNTIF($AM$6:$AP$24,"&gt;"&amp;AH21))+COUNTIF($AH$6:$AK$20,AH21)+1&lt;=$U$46,1,0)))</f>
        <v>0</v>
      </c>
      <c r="AS21" s="15" t="n">
        <f aca="false">IF(Y21=1,IF(ISNUMBER(F21),1,0),IF(AI21="",0,IF(IF($U$36=1,COUNTIF($AH$6:$AK$24,"&gt;"&amp;AI21),COUNTIF($AM$6:$AP$24,"&gt;"&amp;AI21))+COUNTIF($AH$6:$AK$20,AI21)+COUNTIF($AH21:AH21,AI21)+1&lt;=$U$46,1,0)))</f>
        <v>0</v>
      </c>
      <c r="AT21" s="15" t="n">
        <f aca="false">IF(Y21=1,IF(ISNUMBER(G21),1,0),IF(AJ21="",0,IF(IF($U$36=1,COUNTIF($AH$6:$AK$24,"&gt;"&amp;AJ21),COUNTIF($AM$6:$AP$24,"&gt;"&amp;AJ21))+COUNTIF($AH$6:$AK$20,AJ21)+COUNTIF($AH21:AI21,AJ21)+1&lt;=$U$46,1,0)))</f>
        <v>0</v>
      </c>
      <c r="AU21" s="15" t="n">
        <f aca="false">IF(Y21=1,IF(ISNUMBER(H21),1,0),IF(AK21="",0,IF(IF($U$36=1,COUNTIF($AH$6:$AK$24,"&gt;"&amp;AK21),COUNTIF($AM$6:$AP$24,"&gt;"&amp;AK21))+COUNTIF($AH$6:$AK$20,AK21)+COUNTIF($AH21:AJ21,AK21)+1&lt;=$U$46,1,0)))</f>
        <v>0</v>
      </c>
      <c r="BZ21" s="15" t="n">
        <f aca="false">IFERROR(LARGE($AH$6:$AK$24,20),0)</f>
        <v>0</v>
      </c>
      <c r="CA21" s="15" t="n">
        <f aca="false">CA20+BZ21</f>
        <v>0</v>
      </c>
      <c r="CB21" s="15" t="n">
        <f aca="false">IFERROR(LARGE($AM$6:$AP$24,20),0)</f>
        <v>0</v>
      </c>
      <c r="CC21" s="15" t="n">
        <f aca="false">CC20+CB21</f>
        <v>0</v>
      </c>
    </row>
    <row r="22" customFormat="false" ht="22.35" hidden="false" customHeight="false" outlineLevel="0" collapsed="false">
      <c r="B22" s="36" t="s">
        <v>211</v>
      </c>
      <c r="C22" s="37"/>
      <c r="D22" s="38"/>
      <c r="E22" s="24"/>
      <c r="F22" s="24"/>
      <c r="G22" s="24"/>
      <c r="H22" s="24"/>
      <c r="I22" s="39"/>
      <c r="J22" s="39"/>
      <c r="L22" s="42" t="s">
        <v>212</v>
      </c>
      <c r="M22" s="43" t="str">
        <f aca="false">IF($U$4=0,"",IF($U$57=1,"✓ erfüllt","✗ nicht erfüllt"))</f>
        <v/>
      </c>
      <c r="N22" s="36"/>
      <c r="T22" s="15" t="s">
        <v>207</v>
      </c>
      <c r="U22" s="15" t="n">
        <f aca="false">MIN(300,INT((SUM(BU6,BU7,BU8,BU9,BU26))+0.5+0.000000001))</f>
        <v>140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IF(Y22=1,IF(ISNUMBER(E22),1,0),IF(AH22="",0,IF(IF($U$36=1,COUNTIF($AH$6:$AK$24,"&gt;"&amp;AH22),COUNTIF($AM$6:$AP$24,"&gt;"&amp;AH22))+COUNTIF($AH$6:$AK$21,AH22)+1&lt;=$U$46,1,0)))</f>
        <v>0</v>
      </c>
      <c r="AS22" s="15" t="n">
        <f aca="false">IF(Y22=1,IF(ISNUMBER(F22),1,0),IF(AI22="",0,IF(IF($U$36=1,COUNTIF($AH$6:$AK$24,"&gt;"&amp;AI22),COUNTIF($AM$6:$AP$24,"&gt;"&amp;AI22))+COUNTIF($AH$6:$AK$21,AI22)+COUNTIF($AH22:AH22,AI22)+1&lt;=$U$46,1,0)))</f>
        <v>0</v>
      </c>
      <c r="AT22" s="15" t="n">
        <f aca="false">IF(Y22=1,IF(ISNUMBER(G22),1,0),IF(AJ22="",0,IF(IF($U$36=1,COUNTIF($AH$6:$AK$24,"&gt;"&amp;AJ22),COUNTIF($AM$6:$AP$24,"&gt;"&amp;AJ22))+COUNTIF($AH$6:$AK$21,AJ22)+COUNTIF($AH22:AI22,AJ22)+1&lt;=$U$46,1,0)))</f>
        <v>0</v>
      </c>
      <c r="AU22" s="15" t="n">
        <f aca="false">IF(Y22=1,IF(ISNUMBER(H22),1,0),IF(AK22="",0,IF(IF($U$36=1,COUNTIF($AH$6:$AK$24,"&gt;"&amp;AK22),COUNTIF($AM$6:$AP$24,"&gt;"&amp;AK22))+COUNTIF($AH$6:$AK$21,AK22)+COUNTIF($AH22:AJ22,AK22)+1&lt;=$U$46,1,0)))</f>
        <v>0</v>
      </c>
      <c r="BZ22" s="15" t="n">
        <f aca="false">IFERROR(LARGE($AH$6:$AK$24,21),0)</f>
        <v>0</v>
      </c>
      <c r="CA22" s="15" t="n">
        <f aca="false">CA21+BZ22</f>
        <v>0</v>
      </c>
      <c r="CB22" s="15" t="n">
        <f aca="false">IFERROR(LARGE($AM$6:$AP$24,21),0)</f>
        <v>0</v>
      </c>
      <c r="CC22" s="15" t="n">
        <f aca="false">CC21+CB22</f>
        <v>0</v>
      </c>
      <c r="CE22" s="15" t="s">
        <v>79</v>
      </c>
      <c r="CF22" s="15" t="s">
        <v>80</v>
      </c>
      <c r="CG22" s="15" t="s">
        <v>81</v>
      </c>
      <c r="CH22" s="15" t="s">
        <v>82</v>
      </c>
      <c r="CI22" s="15" t="s">
        <v>83</v>
      </c>
      <c r="CJ22" s="15" t="s">
        <v>84</v>
      </c>
      <c r="CK22" s="15" t="s">
        <v>85</v>
      </c>
      <c r="CL22" s="15" t="s">
        <v>86</v>
      </c>
      <c r="CM22" s="15" t="s">
        <v>87</v>
      </c>
      <c r="CN22" s="15" t="s">
        <v>88</v>
      </c>
      <c r="CO22" s="15" t="s">
        <v>89</v>
      </c>
      <c r="CP22" s="15" t="s">
        <v>90</v>
      </c>
      <c r="CQ22" s="15" t="s">
        <v>91</v>
      </c>
      <c r="CR22" s="15" t="s">
        <v>92</v>
      </c>
      <c r="CS22" s="15" t="s">
        <v>93</v>
      </c>
      <c r="CT22" s="15" t="s">
        <v>94</v>
      </c>
      <c r="CU22" s="15" t="s">
        <v>95</v>
      </c>
      <c r="CV22" s="15" t="s">
        <v>96</v>
      </c>
      <c r="CW22" s="15" t="s">
        <v>97</v>
      </c>
      <c r="CX22" s="15" t="s">
        <v>98</v>
      </c>
      <c r="CY22" s="15" t="s">
        <v>99</v>
      </c>
      <c r="CZ22" s="15" t="s">
        <v>100</v>
      </c>
      <c r="DA22" s="15" t="s">
        <v>101</v>
      </c>
      <c r="DB22" s="15" t="s">
        <v>102</v>
      </c>
      <c r="DC22" s="15" t="s">
        <v>103</v>
      </c>
      <c r="DD22" s="15" t="s">
        <v>104</v>
      </c>
      <c r="DE22" s="15" t="s">
        <v>105</v>
      </c>
      <c r="DF22" s="15" t="s">
        <v>106</v>
      </c>
      <c r="DG22" s="15" t="s">
        <v>107</v>
      </c>
      <c r="DH22" s="15" t="s">
        <v>108</v>
      </c>
    </row>
    <row r="23" customFormat="false" ht="15" hidden="false" customHeight="false" outlineLevel="0" collapsed="false">
      <c r="B23" s="36" t="s">
        <v>214</v>
      </c>
      <c r="C23" s="37"/>
      <c r="D23" s="38"/>
      <c r="E23" s="24"/>
      <c r="F23" s="24"/>
      <c r="G23" s="24"/>
      <c r="H23" s="24"/>
      <c r="I23" s="39"/>
      <c r="J23" s="39"/>
      <c r="L23" s="42" t="s">
        <v>215</v>
      </c>
      <c r="M23" s="43" t="str">
        <f aca="false">IF($U$4=0,"",IF($U$62=1,"✓ erfüllt","✗ nicht erfüllt"))</f>
        <v/>
      </c>
      <c r="N23" s="36" t="str">
        <f aca="false">IF($U$4=0,"",$U$60&amp;" Punkte")</f>
        <v/>
      </c>
      <c r="T23" s="15" t="s">
        <v>210</v>
      </c>
      <c r="U23" s="15" t="n">
        <f aca="false">SUM(BV6,BV7,BV8,BV9,BV26)</f>
        <v>4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IF(Y23=1,IF(ISNUMBER(E23),1,0),IF(AH23="",0,IF(IF($U$36=1,COUNTIF($AH$6:$AK$24,"&gt;"&amp;AH23),COUNTIF($AM$6:$AP$24,"&gt;"&amp;AH23))+COUNTIF($AH$6:$AK$22,AH23)+1&lt;=$U$46,1,0)))</f>
        <v>0</v>
      </c>
      <c r="AS23" s="15" t="n">
        <f aca="false">IF(Y23=1,IF(ISNUMBER(F23),1,0),IF(AI23="",0,IF(IF($U$36=1,COUNTIF($AH$6:$AK$24,"&gt;"&amp;AI23),COUNTIF($AM$6:$AP$24,"&gt;"&amp;AI23))+COUNTIF($AH$6:$AK$22,AI23)+COUNTIF($AH23:AH23,AI23)+1&lt;=$U$46,1,0)))</f>
        <v>0</v>
      </c>
      <c r="AT23" s="15" t="n">
        <f aca="false">IF(Y23=1,IF(ISNUMBER(G23),1,0),IF(AJ23="",0,IF(IF($U$36=1,COUNTIF($AH$6:$AK$24,"&gt;"&amp;AJ23),COUNTIF($AM$6:$AP$24,"&gt;"&amp;AJ23))+COUNTIF($AH$6:$AK$22,AJ23)+COUNTIF($AH23:AI23,AJ23)+1&lt;=$U$46,1,0)))</f>
        <v>0</v>
      </c>
      <c r="AU23" s="15" t="n">
        <f aca="false">IF(Y23=1,IF(ISNUMBER(H23),1,0),IF(AK23="",0,IF(IF($U$36=1,COUNTIF($AH$6:$AK$24,"&gt;"&amp;AK23),COUNTIF($AM$6:$AP$24,"&gt;"&amp;AK23))+COUNTIF($AH$6:$AK$22,AK23)+COUNTIF($AH23:AJ23,AK23)+1&lt;=$U$46,1,0)))</f>
        <v>0</v>
      </c>
      <c r="BZ23" s="15" t="n">
        <f aca="false">IFERROR(LARGE($AH$6:$AK$24,22),0)</f>
        <v>0</v>
      </c>
      <c r="CA23" s="15" t="n">
        <f aca="false">CA22+BZ23</f>
        <v>0</v>
      </c>
      <c r="CB23" s="15" t="n">
        <f aca="false">IFERROR(LARGE($AM$6:$AP$24,22),0)</f>
        <v>0</v>
      </c>
      <c r="CC23" s="15" t="n">
        <f aca="false">CC22+CB23</f>
        <v>0</v>
      </c>
      <c r="CE23" s="15" t="n">
        <f aca="false">36</f>
        <v>36</v>
      </c>
      <c r="CF23" s="15" t="n">
        <f aca="false">CE23-$V$5-$V$6-0</f>
        <v>20</v>
      </c>
      <c r="CG23" s="15" t="n">
        <f aca="false">MAX(0,CF23)</f>
        <v>20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20</v>
      </c>
      <c r="CK23" s="15" t="n">
        <f aca="false">$V$5+CH23+CJ23</f>
        <v>36</v>
      </c>
      <c r="CL23" s="15" t="n">
        <f aca="false">2*BE6+2*BF6+2*BE7+2*BF7+1*BE8+1*BF8</f>
        <v>140</v>
      </c>
      <c r="CM23" s="15" t="n">
        <f aca="false">2*BG6+2*BH6+2*BG7+2*BH7+1*BG8+1*BH8+1*BG9+1*BH9+SUM($AE$11:$AE$24)</f>
        <v>24</v>
      </c>
      <c r="CN23" s="15" t="n">
        <f aca="false">IF(CH23=0,0,INDEX($CC$2:$CC$57,CH23))</f>
        <v>0</v>
      </c>
      <c r="CO23" s="15" t="n">
        <f aca="false">CL23+$V$11+CN23+CJ23*$U$2</f>
        <v>308</v>
      </c>
      <c r="CP23" s="15" t="n">
        <f aca="false">CM23+CH23+CJ23</f>
        <v>44</v>
      </c>
      <c r="CQ23" s="15" t="n">
        <f aca="false">IF(44&gt;0,MIN(600,INT((CO23/44*40)+0.5+0.000000001)),0)</f>
        <v>280</v>
      </c>
      <c r="CR23" s="15" t="n">
        <f aca="false">$V$9+CT23</f>
        <v>0</v>
      </c>
      <c r="CS23" s="15" t="n">
        <f aca="false">7</f>
        <v>7</v>
      </c>
      <c r="CT23" s="15" t="n">
        <f aca="false">$V$10+MAX(0,CH23-$V$8)+CJ23*IF($U$2&lt;5,1,0)</f>
        <v>0</v>
      </c>
      <c r="CU23" s="15" t="n">
        <f aca="false">$V$11+CN23+CJ23*$U$2</f>
        <v>168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1</f>
        <v>1</v>
      </c>
      <c r="CY23" s="15" t="n">
        <f aca="false">1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1028064</v>
      </c>
    </row>
    <row r="24" customFormat="false" ht="15" hidden="false" customHeight="false" outlineLevel="0" collapsed="false">
      <c r="B24" s="36" t="s">
        <v>217</v>
      </c>
      <c r="C24" s="37"/>
      <c r="D24" s="38"/>
      <c r="E24" s="24"/>
      <c r="F24" s="24"/>
      <c r="G24" s="24"/>
      <c r="H24" s="24"/>
      <c r="I24" s="39"/>
      <c r="J24" s="39"/>
      <c r="L24" s="42" t="str">
        <f aca="false">"In mindestens "&amp;$U$27&amp;" Prüfungen mindestens 5 Punkte (einfach)"</f>
        <v>In mindestens 2 Prüfungen mindestens 5 Punkte (einfach)</v>
      </c>
      <c r="M24" s="43" t="str">
        <f aca="false">IF($U$4=0,"",IF($U$63=1,"✓ erfüllt","✗ nicht erfüllt"))</f>
        <v/>
      </c>
      <c r="N24" s="36" t="str">
        <f aca="false">IF($U$4=0,"",$U$61&amp;" Prüfungen")</f>
        <v/>
      </c>
      <c r="T24" s="15" t="s">
        <v>213</v>
      </c>
      <c r="U24" s="15" t="n">
        <f aca="false">0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IF(Y24=1,IF(ISNUMBER(E24),1,0),IF(AH24="",0,IF(IF($U$36=1,COUNTIF($AH$6:$AK$24,"&gt;"&amp;AH24),COUNTIF($AM$6:$AP$24,"&gt;"&amp;AH24))+COUNTIF($AH$6:$AK$23,AH24)+1&lt;=$U$46,1,0)))</f>
        <v>0</v>
      </c>
      <c r="AS24" s="15" t="n">
        <f aca="false">IF(Y24=1,IF(ISNUMBER(F24),1,0),IF(AI24="",0,IF(IF($U$36=1,COUNTIF($AH$6:$AK$24,"&gt;"&amp;AI24),COUNTIF($AM$6:$AP$24,"&gt;"&amp;AI24))+COUNTIF($AH$6:$AK$23,AI24)+COUNTIF($AH24:AH24,AI24)+1&lt;=$U$46,1,0)))</f>
        <v>0</v>
      </c>
      <c r="AT24" s="15" t="n">
        <f aca="false">IF(Y24=1,IF(ISNUMBER(G24),1,0),IF(AJ24="",0,IF(IF($U$36=1,COUNTIF($AH$6:$AK$24,"&gt;"&amp;AJ24),COUNTIF($AM$6:$AP$24,"&gt;"&amp;AJ24))+COUNTIF($AH$6:$AK$23,AJ24)+COUNTIF($AH24:AI24,AJ24)+1&lt;=$U$46,1,0)))</f>
        <v>0</v>
      </c>
      <c r="AU24" s="15" t="n">
        <f aca="false">IF(Y24=1,IF(ISNUMBER(H24),1,0),IF(AK24="",0,IF(IF($U$36=1,COUNTIF($AH$6:$AK$24,"&gt;"&amp;AK24),COUNTIF($AM$6:$AP$24,"&gt;"&amp;AK24))+COUNTIF($AH$6:$AK$23,AK24)+COUNTIF($AH24:AJ24,AK24)+1&lt;=$U$46,1,0)))</f>
        <v>0</v>
      </c>
      <c r="BZ24" s="15" t="n">
        <f aca="false">IFERROR(LARGE($AH$6:$AK$24,23),0)</f>
        <v>0</v>
      </c>
      <c r="CA24" s="15" t="n">
        <f aca="false">CA23+BZ24</f>
        <v>0</v>
      </c>
      <c r="CB24" s="15" t="n">
        <f aca="false">IFERROR(LARGE($AM$6:$AP$24,23),0)</f>
        <v>0</v>
      </c>
      <c r="CC24" s="15" t="n">
        <f aca="false">CC23+CB24</f>
        <v>0</v>
      </c>
      <c r="CE24" s="15" t="n">
        <f aca="false">36</f>
        <v>36</v>
      </c>
      <c r="CF24" s="15" t="n">
        <f aca="false">CE24-$V$5-$V$6-0</f>
        <v>20</v>
      </c>
      <c r="CG24" s="15" t="n">
        <f aca="false">MAX(0,CF24)</f>
        <v>20</v>
      </c>
      <c r="CH24" s="15" t="n">
        <f aca="false">MIN(CG24,$V$7)</f>
        <v>0</v>
      </c>
      <c r="CI24" s="15" t="n">
        <f aca="false">0</f>
        <v>0</v>
      </c>
      <c r="CJ24" s="15" t="n">
        <f aca="false">CG24-CH24</f>
        <v>20</v>
      </c>
      <c r="CK24" s="15" t="n">
        <f aca="false">$V$5+CH24+CJ24</f>
        <v>36</v>
      </c>
      <c r="CL24" s="15" t="n">
        <f aca="false">2*BE6+2*BF6+1*BE7+1*BF7+2*BE8+2*BF8</f>
        <v>140</v>
      </c>
      <c r="CM24" s="15" t="n">
        <f aca="false">2*BG6+2*BH6+1*BG7+1*BH7+2*BG8+2*BH8+1*BG9+1*BH9+SUM($AE$11:$AE$24)</f>
        <v>24</v>
      </c>
      <c r="CN24" s="15" t="n">
        <f aca="false">IF(CH24=0,0,INDEX($CC$2:$CC$57,CH24))</f>
        <v>0</v>
      </c>
      <c r="CO24" s="15" t="n">
        <f aca="false">CL24+$V$11+CN24+CJ24*$U$2</f>
        <v>308</v>
      </c>
      <c r="CP24" s="15" t="n">
        <f aca="false">CM24+CH24+CJ24</f>
        <v>44</v>
      </c>
      <c r="CQ24" s="15" t="n">
        <f aca="false">IF(44&gt;0,MIN(600,INT((CO24/44*40)+0.5+0.000000001)),0)</f>
        <v>280</v>
      </c>
      <c r="CR24" s="15" t="n">
        <f aca="false">$V$9+CT24</f>
        <v>0</v>
      </c>
      <c r="CS24" s="15" t="n">
        <f aca="false">7</f>
        <v>7</v>
      </c>
      <c r="CT24" s="15" t="n">
        <f aca="false">$V$10+MAX(0,CH24-$V$8)+CJ24*IF($U$2&lt;5,1,0)</f>
        <v>0</v>
      </c>
      <c r="CU24" s="15" t="n">
        <f aca="false">$V$11+CN24+CJ24*$U$2</f>
        <v>168</v>
      </c>
      <c r="CV24" s="15" t="n">
        <f aca="false">IF(CQ24&gt;=200,1,0)</f>
        <v>1</v>
      </c>
      <c r="CW24" s="15" t="n">
        <f aca="false">IF(CR24&lt;=CS24,1,0)</f>
        <v>1</v>
      </c>
      <c r="CX24" s="15" t="n">
        <f aca="false">1</f>
        <v>1</v>
      </c>
      <c r="CY24" s="15" t="n">
        <f aca="false">1</f>
        <v>1</v>
      </c>
      <c r="CZ24" s="15" t="n">
        <f aca="false">1</f>
        <v>1</v>
      </c>
      <c r="DA24" s="15" t="n">
        <f aca="false">1</f>
        <v>1</v>
      </c>
      <c r="DB24" s="15" t="n">
        <f aca="false">IF($U$12=0,1,0)</f>
        <v>1</v>
      </c>
      <c r="DC24" s="15" t="n">
        <f aca="false">1</f>
        <v>1</v>
      </c>
      <c r="DD24" s="15" t="n">
        <f aca="false">1</f>
        <v>1</v>
      </c>
      <c r="DE24" s="15" t="n">
        <f aca="false">IF(CF24&lt;0,0,1)</f>
        <v>1</v>
      </c>
      <c r="DF24" s="15" t="n">
        <f aca="false">IF(CV24*CW24*CX24*CY24*CZ24*DA24*DB24*DC24*DD24*DE24=1,1,0)</f>
        <v>1</v>
      </c>
      <c r="DG24" s="15" t="n">
        <f aca="false">$V$6+CI24</f>
        <v>0</v>
      </c>
      <c r="DH24" s="15" t="n">
        <f aca="false">DF24*1000000+CQ24*100+(100-CK24)</f>
        <v>1028064</v>
      </c>
    </row>
    <row r="25" customFormat="false" ht="15" hidden="false" customHeight="false" outlineLevel="0" collapsed="false">
      <c r="L25" s="42" t="s">
        <v>221</v>
      </c>
      <c r="M25" s="43" t="str">
        <f aca="false">IF($U$4=0,"",IF($U$66=1,"✓ erfüllt","✗ nicht erfüllt"))</f>
        <v/>
      </c>
      <c r="N25" s="36" t="str">
        <f aca="false">IF($U$4=0,"",$U$65&amp;" Punkte")</f>
        <v/>
      </c>
      <c r="T25" s="15" t="s">
        <v>216</v>
      </c>
      <c r="U25" s="15" t="n">
        <f aca="false">BW6+BW7+BW8+BW9+BW26</f>
        <v>0</v>
      </c>
      <c r="BZ25" s="15" t="n">
        <f aca="false">IFERROR(LARGE($AH$6:$AK$24,24),0)</f>
        <v>0</v>
      </c>
      <c r="CA25" s="15" t="n">
        <f aca="false">CA24+BZ25</f>
        <v>0</v>
      </c>
      <c r="CB25" s="15" t="n">
        <f aca="false">IFERROR(LARGE($AM$6:$AP$24,24),0)</f>
        <v>0</v>
      </c>
      <c r="CC25" s="15" t="n">
        <f aca="false">CC24+CB25</f>
        <v>0</v>
      </c>
      <c r="CE25" s="15" t="n">
        <f aca="false">36</f>
        <v>36</v>
      </c>
      <c r="CF25" s="15" t="n">
        <f aca="false">CE25-$V$5-$V$6-0</f>
        <v>20</v>
      </c>
      <c r="CG25" s="15" t="n">
        <f aca="false">MAX(0,CF25)</f>
        <v>20</v>
      </c>
      <c r="CH25" s="15" t="n">
        <f aca="false">MIN(CG25,$V$7)</f>
        <v>0</v>
      </c>
      <c r="CI25" s="15" t="n">
        <f aca="false">0</f>
        <v>0</v>
      </c>
      <c r="CJ25" s="15" t="n">
        <f aca="false">CG25-CH25</f>
        <v>20</v>
      </c>
      <c r="CK25" s="15" t="n">
        <f aca="false">$V$5+CH25+CJ25</f>
        <v>36</v>
      </c>
      <c r="CL25" s="15" t="n">
        <f aca="false">1*BE6+1*BF6+2*BE7+2*BF7+2*BE8+2*BF8</f>
        <v>140</v>
      </c>
      <c r="CM25" s="15" t="n">
        <f aca="false">1*BG6+1*BH6+2*BG7+2*BH7+2*BG8+2*BH8+1*BG9+1*BH9+SUM($AE$11:$AE$24)</f>
        <v>24</v>
      </c>
      <c r="CN25" s="15" t="n">
        <f aca="false">IF(CH25=0,0,INDEX($CC$2:$CC$57,CH25))</f>
        <v>0</v>
      </c>
      <c r="CO25" s="15" t="n">
        <f aca="false">CL25+$V$11+CN25+CJ25*$U$2</f>
        <v>308</v>
      </c>
      <c r="CP25" s="15" t="n">
        <f aca="false">CM25+CH25+CJ25</f>
        <v>44</v>
      </c>
      <c r="CQ25" s="15" t="n">
        <f aca="false">IF(44&gt;0,MIN(600,INT((CO25/44*40)+0.5+0.000000001)),0)</f>
        <v>280</v>
      </c>
      <c r="CR25" s="15" t="n">
        <f aca="false">$V$9+CT25</f>
        <v>0</v>
      </c>
      <c r="CS25" s="15" t="n">
        <f aca="false">7</f>
        <v>7</v>
      </c>
      <c r="CT25" s="15" t="n">
        <f aca="false">$V$10+MAX(0,CH25-$V$8)+CJ25*IF($U$2&lt;5,1,0)</f>
        <v>0</v>
      </c>
      <c r="CU25" s="15" t="n">
        <f aca="false">$V$11+CN25+CJ25*$U$2</f>
        <v>168</v>
      </c>
      <c r="CV25" s="15" t="n">
        <f aca="false">IF(CQ25&gt;=200,1,0)</f>
        <v>1</v>
      </c>
      <c r="CW25" s="15" t="n">
        <f aca="false">IF(CR25&lt;=CS25,1,0)</f>
        <v>1</v>
      </c>
      <c r="CX25" s="15" t="n">
        <f aca="false">1</f>
        <v>1</v>
      </c>
      <c r="CY25" s="15" t="n">
        <f aca="false">1</f>
        <v>1</v>
      </c>
      <c r="CZ25" s="15" t="n">
        <f aca="false">1</f>
        <v>1</v>
      </c>
      <c r="DA25" s="15" t="n">
        <f aca="false">1</f>
        <v>1</v>
      </c>
      <c r="DB25" s="15" t="n">
        <f aca="false">IF($U$12=0,1,0)</f>
        <v>1</v>
      </c>
      <c r="DC25" s="15" t="n">
        <f aca="false">1</f>
        <v>1</v>
      </c>
      <c r="DD25" s="15" t="n">
        <f aca="false">1</f>
        <v>1</v>
      </c>
      <c r="DE25" s="15" t="n">
        <f aca="false">IF(CF25&lt;0,0,1)</f>
        <v>1</v>
      </c>
      <c r="DF25" s="15" t="n">
        <f aca="false">IF(CV25*CW25*CX25*CY25*CZ25*DA25*DB25*DC25*DD25*DE25=1,1,0)</f>
        <v>1</v>
      </c>
      <c r="DG25" s="15" t="n">
        <f aca="false">$V$6+CI25</f>
        <v>0</v>
      </c>
      <c r="DH25" s="15" t="n">
        <f aca="false">DF25*1000000+CQ25*100+(100-CK25)</f>
        <v>1028064</v>
      </c>
    </row>
    <row r="26" customFormat="false" ht="30" hidden="false" customHeight="true" outlineLevel="0" collapsed="false">
      <c r="B26" s="21" t="s">
        <v>428</v>
      </c>
      <c r="C26" s="37"/>
      <c r="I26" s="25"/>
      <c r="J26" s="54" t="s">
        <v>339</v>
      </c>
      <c r="T26" s="15" t="s">
        <v>218</v>
      </c>
      <c r="U26" s="15" t="n">
        <f aca="false">BX6+BX7+BX8+BX9+BX26</f>
        <v>0</v>
      </c>
      <c r="BN26" s="15" t="str">
        <f aca="false">IF(ISNUMBER($I$26),$I$26,"")</f>
        <v/>
      </c>
      <c r="BO26" s="15" t="str">
        <f aca="false">IF(BN26="","",BN26*$U$16)</f>
        <v/>
      </c>
      <c r="BP26" s="15" t="n">
        <f aca="false">IF(BO26="",0,IF(BO26&gt;=5*$U$16-0.000000001,1,0))</f>
        <v>0</v>
      </c>
      <c r="BQ26" s="15" t="n">
        <f aca="false">IF(BO26="",0,IF(BO26&lt;0.000000001,1,0))</f>
        <v>0</v>
      </c>
      <c r="BR26" s="15" t="n">
        <f aca="false">0</f>
        <v>0</v>
      </c>
      <c r="BT26" s="15" t="str">
        <f aca="false">IF(ISNUMBER($I$26),$I$26,"")</f>
        <v/>
      </c>
      <c r="BU26" s="15" t="str">
        <f aca="false">IF(BT26="","",BT26*$U$16)</f>
        <v/>
      </c>
      <c r="BV26" s="15" t="n">
        <f aca="false">IF(BU26="",0,IF(BU26&gt;=5*$U$16-0.000000001,1,0))</f>
        <v>0</v>
      </c>
      <c r="BW26" s="15" t="n">
        <f aca="false">IF(BU26="",0,IF(BU26&lt;0.000000001,1,0))</f>
        <v>0</v>
      </c>
      <c r="BX26" s="15" t="n">
        <f aca="false">0</f>
        <v>0</v>
      </c>
      <c r="BZ26" s="15" t="n">
        <f aca="false">IFERROR(LARGE($AH$6:$AK$24,25),0)</f>
        <v>0</v>
      </c>
      <c r="CA26" s="15" t="n">
        <f aca="false">CA25+BZ26</f>
        <v>0</v>
      </c>
      <c r="CB26" s="15" t="n">
        <f aca="false">IFERROR(LARGE($AM$6:$AP$24,25),0)</f>
        <v>0</v>
      </c>
      <c r="CC26" s="15" t="n">
        <f aca="false">CC25+CB26</f>
        <v>0</v>
      </c>
    </row>
    <row r="27" customFormat="false" ht="15" hidden="false" customHeight="false" outlineLevel="0" collapsed="false">
      <c r="L27" s="44" t="s">
        <v>226</v>
      </c>
      <c r="T27" s="15" t="s">
        <v>220</v>
      </c>
      <c r="U27" s="15" t="n">
        <f aca="false">IF($U$15=1,3,2)</f>
        <v>2</v>
      </c>
      <c r="BZ27" s="15" t="n">
        <f aca="false">IFERROR(LARGE($AH$6:$AK$24,26),0)</f>
        <v>0</v>
      </c>
      <c r="CA27" s="15" t="n">
        <f aca="false">CA26+BZ27</f>
        <v>0</v>
      </c>
      <c r="CB27" s="15" t="n">
        <f aca="false">IFERROR(LARGE($AM$6:$AP$24,26),0)</f>
        <v>0</v>
      </c>
      <c r="CC27" s="15" t="n">
        <f aca="false">CC26+CB27</f>
        <v>0</v>
      </c>
    </row>
    <row r="28" customFormat="false" ht="15" hidden="false" customHeight="false" outlineLevel="0" collapsed="false">
      <c r="B28" s="5" t="s">
        <v>429</v>
      </c>
      <c r="L28" s="8" t="s">
        <v>229</v>
      </c>
      <c r="T28" s="15" t="s">
        <v>222</v>
      </c>
      <c r="U28" s="15" t="n">
        <f aca="false">IF(ISNUMBER($I$6),0,1)+IF(ISNUMBER($I$7),0,1)+IF(ISNUMBER($I$8),0,1)+IF(ISNUMBER($I$9),0,1)</f>
        <v>4</v>
      </c>
      <c r="BZ28" s="15" t="n">
        <f aca="false">IFERROR(LARGE($AH$6:$AK$24,27),0)</f>
        <v>0</v>
      </c>
      <c r="CA28" s="15" t="n">
        <f aca="false">CA27+BZ28</f>
        <v>0</v>
      </c>
      <c r="CB28" s="15" t="n">
        <f aca="false">IFERROR(LARGE($AM$6:$AP$24,27),0)</f>
        <v>0</v>
      </c>
      <c r="CC28" s="15" t="n">
        <f aca="false">CC27+CB28</f>
        <v>0</v>
      </c>
    </row>
    <row r="29" customFormat="false" ht="15" hidden="false" customHeight="false" outlineLevel="0" collapsed="false">
      <c r="B29" s="12" t="s">
        <v>430</v>
      </c>
      <c r="L29" s="45" t="s">
        <v>232</v>
      </c>
      <c r="T29" s="15" t="s">
        <v>224</v>
      </c>
      <c r="U29" s="15" t="n">
        <f aca="false">IF($U$17&gt;=100,1,0)</f>
        <v>0</v>
      </c>
      <c r="BZ29" s="15" t="n">
        <f aca="false">IFERROR(LARGE($AH$6:$AK$24,28),0)</f>
        <v>0</v>
      </c>
      <c r="CA29" s="15" t="n">
        <f aca="false">CA28+BZ29</f>
        <v>0</v>
      </c>
      <c r="CB29" s="15" t="n">
        <f aca="false">IFERROR(LARGE($AM$6:$AP$24,28),0)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">
        <v>431</v>
      </c>
      <c r="L30" s="46" t="s">
        <v>235</v>
      </c>
      <c r="T30" s="15" t="s">
        <v>227</v>
      </c>
      <c r="U30" s="15" t="n">
        <f aca="false">IF(AND($U$18&gt;=$U$27,$U$19&gt;=0),1,0)</f>
        <v>0</v>
      </c>
      <c r="BZ30" s="15" t="n">
        <f aca="false">IFERROR(LARGE($AH$6:$AK$24,29),0)</f>
        <v>0</v>
      </c>
      <c r="CA30" s="15" t="n">
        <f aca="false">CA29+BZ30</f>
        <v>0</v>
      </c>
      <c r="CB30" s="15" t="n">
        <f aca="false">IFERROR(LARGE($AM$6:$AP$24,29),0)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432</v>
      </c>
      <c r="L31" s="47" t="s">
        <v>238</v>
      </c>
      <c r="T31" s="15" t="s">
        <v>233</v>
      </c>
      <c r="U31" s="15" t="n">
        <f aca="false">$U$29*$U$30</f>
        <v>0</v>
      </c>
      <c r="BZ31" s="15" t="n">
        <f aca="false">IFERROR(LARGE($AH$6:$AK$24,30),0)</f>
        <v>0</v>
      </c>
      <c r="CA31" s="15" t="n">
        <f aca="false">CA30+BZ31</f>
        <v>0</v>
      </c>
      <c r="CB31" s="15" t="n">
        <f aca="false">IFERROR(LARGE($AM$6:$AP$24,30),0)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433</v>
      </c>
      <c r="T32" s="15" t="s">
        <v>236</v>
      </c>
      <c r="U32" s="15" t="n">
        <f aca="false">IF($U$22&gt;=100,1,0)</f>
        <v>1</v>
      </c>
      <c r="BZ32" s="15" t="n">
        <f aca="false">IFERROR(LARGE($AH$6:$AK$24,31),0)</f>
        <v>0</v>
      </c>
      <c r="CA32" s="15" t="n">
        <f aca="false">CA31+BZ32</f>
        <v>0</v>
      </c>
      <c r="CB32" s="15" t="n">
        <f aca="false">IFERROR(LARGE($AM$6:$AP$24,31),0)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434</v>
      </c>
      <c r="L33" s="48" t="s">
        <v>242</v>
      </c>
      <c r="T33" s="15" t="s">
        <v>239</v>
      </c>
      <c r="U33" s="15" t="n">
        <f aca="false">IF(AND($U$23&gt;=$U$27,$U$24&gt;=0),1,0)</f>
        <v>1</v>
      </c>
      <c r="BZ33" s="15" t="n">
        <f aca="false">IFERROR(LARGE($AH$6:$AK$24,32),0)</f>
        <v>0</v>
      </c>
      <c r="CA33" s="15" t="n">
        <f aca="false">CA32+BZ33</f>
        <v>0</v>
      </c>
      <c r="CB33" s="15" t="n">
        <f aca="false">IFERROR(LARGE($AM$6:$AP$24,32),0)</f>
        <v>0</v>
      </c>
      <c r="CC33" s="15" t="n">
        <f aca="false">CC32+CB33</f>
        <v>0</v>
      </c>
    </row>
    <row r="34" customFormat="false" ht="15" hidden="false" customHeight="false" outlineLevel="0" collapsed="false">
      <c r="L34" s="48" t="s">
        <v>245</v>
      </c>
      <c r="T34" s="15" t="s">
        <v>243</v>
      </c>
      <c r="U34" s="15" t="n">
        <f aca="false">$U$32*$U$33</f>
        <v>1</v>
      </c>
      <c r="BZ34" s="15" t="n">
        <f aca="false">IFERROR(LARGE($AH$6:$AK$24,33),0)</f>
        <v>0</v>
      </c>
      <c r="CA34" s="15" t="n">
        <f aca="false">CA33+BZ34</f>
        <v>0</v>
      </c>
      <c r="CB34" s="15" t="n">
        <f aca="false">IFERROR(LARGE($AM$6:$AP$24,33),0)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8" t="s">
        <v>435</v>
      </c>
      <c r="T35" s="15" t="s">
        <v>246</v>
      </c>
      <c r="U35" s="15" t="n">
        <f aca="false">INDEX($DG$3:$DG$5,$U$13)+$U$28</f>
        <v>40</v>
      </c>
      <c r="BZ35" s="15" t="n">
        <f aca="false">IFERROR(LARGE($AH$6:$AK$24,34),0)</f>
        <v>0</v>
      </c>
      <c r="CA35" s="15" t="n">
        <f aca="false">CA34+BZ35</f>
        <v>0</v>
      </c>
      <c r="CB35" s="15" t="n">
        <f aca="false">IFERROR(LARGE($AM$6:$AP$24,34),0)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49" t="s">
        <v>436</v>
      </c>
      <c r="T36" s="15" t="s">
        <v>247</v>
      </c>
      <c r="U36" s="15" t="n">
        <f aca="false">IF($U$35=0,1,0)</f>
        <v>0</v>
      </c>
      <c r="BZ36" s="15" t="n">
        <f aca="false">IFERROR(LARGE($AH$6:$AK$24,35),0)</f>
        <v>0</v>
      </c>
      <c r="CA36" s="15" t="n">
        <f aca="false">CA35+BZ36</f>
        <v>0</v>
      </c>
      <c r="CB36" s="15" t="n">
        <f aca="false">IFERROR(LARGE($AM$6:$AP$24,35),0)</f>
        <v>0</v>
      </c>
      <c r="CC36" s="15" t="n">
        <f aca="false">CC35+CB36</f>
        <v>0</v>
      </c>
    </row>
    <row r="37" customFormat="false" ht="15" hidden="false" customHeight="false" outlineLevel="0" collapsed="false">
      <c r="T37" s="15" t="s">
        <v>249</v>
      </c>
      <c r="U37" s="15" t="n">
        <f aca="false">IF($U$36=1,INDEX($CQ$3:$CQ$5,$U$13),INDEX($CQ$23:$CQ$25,$U$14))</f>
        <v>280</v>
      </c>
      <c r="BZ37" s="15" t="n">
        <f aca="false">IFERROR(LARGE($AH$6:$AK$24,36),0)</f>
        <v>0</v>
      </c>
      <c r="CA37" s="15" t="n">
        <f aca="false">CA36+BZ37</f>
        <v>0</v>
      </c>
      <c r="CB37" s="15" t="n">
        <f aca="false">IFERROR(LARGE($AM$6:$AP$24,36),0)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0" t="s">
        <v>437</v>
      </c>
      <c r="T38" s="15" t="s">
        <v>251</v>
      </c>
      <c r="U38" s="15" t="n">
        <f aca="false">IF($U$36=1,INDEX($CK$3:$CK$5,$U$13),INDEX($CK$23:$CK$25,$U$14))</f>
        <v>36</v>
      </c>
      <c r="BZ38" s="15" t="n">
        <f aca="false">IFERROR(LARGE($AH$6:$AK$24,37),0)</f>
        <v>0</v>
      </c>
      <c r="CA38" s="15" t="n">
        <f aca="false">CA37+BZ38</f>
        <v>0</v>
      </c>
      <c r="CB38" s="15" t="n">
        <f aca="false">IFERROR(LARGE($AM$6:$AP$24,37),0)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1" t="s">
        <v>250</v>
      </c>
      <c r="T39" s="15" t="s">
        <v>252</v>
      </c>
      <c r="U39" s="15" t="n">
        <f aca="false">IF($U$36=1,INDEX($CR$3:$CR$5,$U$13),INDEX($CR$23:$CR$25,$U$14))</f>
        <v>0</v>
      </c>
      <c r="BZ39" s="15" t="n">
        <f aca="false">IFERROR(LARGE($AH$6:$AK$24,38),0)</f>
        <v>0</v>
      </c>
      <c r="CA39" s="15" t="n">
        <f aca="false">CA38+BZ39</f>
        <v>0</v>
      </c>
      <c r="CB39" s="15" t="n">
        <f aca="false">IFERROR(LARGE($AM$6:$AP$24,38),0)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253</v>
      </c>
      <c r="U40" s="15" t="n">
        <f aca="false">IF($U$36=1,INDEX($CS$3:$CS$5,$U$13),INDEX($CS$23:$CS$25,$U$14))</f>
        <v>7</v>
      </c>
      <c r="BZ40" s="15" t="n">
        <f aca="false">IFERROR(LARGE($AH$6:$AK$24,39),0)</f>
        <v>0</v>
      </c>
      <c r="CA40" s="15" t="n">
        <f aca="false">CA39+BZ40</f>
        <v>0</v>
      </c>
      <c r="CB40" s="15" t="n">
        <f aca="false">IFERROR(LARGE($AM$6:$AP$24,39),0)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254</v>
      </c>
      <c r="U41" s="15" t="n">
        <f aca="false">IF($U$36=1,INDEX($CT$3:$CT$5,$U$13),INDEX($CT$23:$CT$25,$U$14))</f>
        <v>0</v>
      </c>
      <c r="BZ41" s="15" t="n">
        <f aca="false">IFERROR(LARGE($AH$6:$AK$24,40),0)</f>
        <v>0</v>
      </c>
      <c r="CA41" s="15" t="n">
        <f aca="false">CA40+BZ41</f>
        <v>0</v>
      </c>
      <c r="CB41" s="15" t="n">
        <f aca="false">IFERROR(LARGE($AM$6:$AP$24,40),0)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255</v>
      </c>
      <c r="U42" s="15" t="n">
        <f aca="false">IF($U$36=1,INDEX($CL$3:$CL$5,$U$13),INDEX($CL$23:$CL$25,$U$14))</f>
        <v>140</v>
      </c>
      <c r="BZ42" s="15" t="n">
        <f aca="false">IFERROR(LARGE($AH$6:$AK$24,41),0)</f>
        <v>0</v>
      </c>
      <c r="CA42" s="15" t="n">
        <f aca="false">CA41+BZ42</f>
        <v>0</v>
      </c>
      <c r="CB42" s="15" t="n">
        <f aca="false">IFERROR(LARGE($AM$6:$AP$24,41),0)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256</v>
      </c>
      <c r="U43" s="15" t="n">
        <f aca="false">IF($U$36=1,INDEX($CU$3:$CU$5,$U$13),INDEX($CU$23:$CU$25,$U$14))</f>
        <v>168</v>
      </c>
      <c r="BZ43" s="15" t="n">
        <f aca="false">IFERROR(LARGE($AH$6:$AK$24,42),0)</f>
        <v>0</v>
      </c>
      <c r="CA43" s="15" t="n">
        <f aca="false">CA42+BZ43</f>
        <v>0</v>
      </c>
      <c r="CB43" s="15" t="n">
        <f aca="false">IFERROR(LARGE($AM$6:$AP$24,42),0)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257</v>
      </c>
      <c r="U44" s="15" t="n">
        <f aca="false">IF($U$36=1,INDEX($CP$3:$CP$5,$U$13),INDEX($CP$23:$CP$25,$U$14))</f>
        <v>44</v>
      </c>
      <c r="BZ44" s="15" t="n">
        <f aca="false">IFERROR(LARGE($AH$6:$AK$24,43),0)</f>
        <v>0</v>
      </c>
      <c r="CA44" s="15" t="n">
        <f aca="false">CA43+BZ44</f>
        <v>0</v>
      </c>
      <c r="CB44" s="15" t="n">
        <f aca="false">IFERROR(LARGE($AM$6:$AP$24,43),0)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258</v>
      </c>
      <c r="U45" s="15" t="n">
        <f aca="false">IF($U$36=1,INDEX($CO$3:$CO$5,$U$13),INDEX($CO$23:$CO$25,$U$14))</f>
        <v>308</v>
      </c>
      <c r="BZ45" s="15" t="n">
        <f aca="false">IFERROR(LARGE($AH$6:$AK$24,44),0)</f>
        <v>0</v>
      </c>
      <c r="CA45" s="15" t="n">
        <f aca="false">CA44+BZ45</f>
        <v>0</v>
      </c>
      <c r="CB45" s="15" t="n">
        <f aca="false">IFERROR(LARGE($AM$6:$AP$24,44),0)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259</v>
      </c>
      <c r="U46" s="15" t="n">
        <f aca="false">IF($U$36=1,INDEX($CH$3:$CH$5,$U$13),INDEX($CH$23:$CH$25,$U$14))</f>
        <v>0</v>
      </c>
      <c r="BZ46" s="15" t="n">
        <f aca="false">IFERROR(LARGE($AH$6:$AK$24,45),0)</f>
        <v>0</v>
      </c>
      <c r="CA46" s="15" t="n">
        <f aca="false">CA45+BZ46</f>
        <v>0</v>
      </c>
      <c r="CB46" s="15" t="n">
        <f aca="false">IFERROR(LARGE($AM$6:$AP$24,45),0)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260</v>
      </c>
      <c r="U47" s="15" t="n">
        <f aca="false">IF($U$36=1,INDEX($DF$3:$DF$5,$U$13),INDEX($DF$23:$DF$25,$U$14))</f>
        <v>1</v>
      </c>
      <c r="BZ47" s="15" t="n">
        <f aca="false">IFERROR(LARGE($AH$6:$AK$24,46),0)</f>
        <v>0</v>
      </c>
      <c r="CA47" s="15" t="n">
        <f aca="false">CA46+BZ47</f>
        <v>0</v>
      </c>
      <c r="CB47" s="15" t="n">
        <f aca="false">IFERROR(LARGE($AM$6:$AP$24,46),0)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261</v>
      </c>
      <c r="U48" s="15" t="n">
        <f aca="false">IF($U$36=1,INDEX($CV$3:$CV$5,$U$13),INDEX($CV$23:$CV$25,$U$14))</f>
        <v>1</v>
      </c>
      <c r="BZ48" s="15" t="n">
        <f aca="false">IFERROR(LARGE($AH$6:$AK$24,47),0)</f>
        <v>0</v>
      </c>
      <c r="CA48" s="15" t="n">
        <f aca="false">CA47+BZ48</f>
        <v>0</v>
      </c>
      <c r="CB48" s="15" t="n">
        <f aca="false">IFERROR(LARGE($AM$6:$AP$24,47),0)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262</v>
      </c>
      <c r="U49" s="15" t="n">
        <f aca="false">IF($U$36=1,INDEX($CW$3:$CW$5,$U$13),INDEX($CW$23:$CW$25,$U$14))</f>
        <v>1</v>
      </c>
      <c r="BZ49" s="15" t="n">
        <f aca="false">IFERROR(LARGE($AH$6:$AK$24,48),0)</f>
        <v>0</v>
      </c>
      <c r="CA49" s="15" t="n">
        <f aca="false">CA48+BZ49</f>
        <v>0</v>
      </c>
      <c r="CB49" s="15" t="n">
        <f aca="false">IFERROR(LARGE($AM$6:$AP$24,48),0)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263</v>
      </c>
      <c r="U50" s="15" t="n">
        <f aca="false">IF($U$36=1,INDEX($CX$3:$CX$5,$U$13),INDEX($CX$23:$CX$25,$U$14))</f>
        <v>1</v>
      </c>
      <c r="BZ50" s="15" t="n">
        <f aca="false">IFERROR(LARGE($AH$6:$AK$24,49),0)</f>
        <v>0</v>
      </c>
      <c r="CA50" s="15" t="n">
        <f aca="false">CA49+BZ50</f>
        <v>0</v>
      </c>
      <c r="CB50" s="15" t="n">
        <f aca="false">IFERROR(LARGE($AM$6:$AP$24,49),0)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264</v>
      </c>
      <c r="U51" s="15" t="n">
        <f aca="false">IF($U$36=1,INDEX($CY$3:$CY$5,$U$13),INDEX($CY$23:$CY$25,$U$14))</f>
        <v>1</v>
      </c>
      <c r="BZ51" s="15" t="n">
        <f aca="false">IFERROR(LARGE($AH$6:$AK$24,50),0)</f>
        <v>0</v>
      </c>
      <c r="CA51" s="15" t="n">
        <f aca="false">CA50+BZ51</f>
        <v>0</v>
      </c>
      <c r="CB51" s="15" t="n">
        <f aca="false">IFERROR(LARGE($AM$6:$AP$24,50),0)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265</v>
      </c>
      <c r="U52" s="15" t="n">
        <f aca="false">IF($U$36=1,INDEX($CZ$3:$CZ$5,$U$13),INDEX($CZ$23:$CZ$25,$U$14))</f>
        <v>1</v>
      </c>
      <c r="BZ52" s="15" t="n">
        <f aca="false">IFERROR(LARGE($AH$6:$AK$24,51),0)</f>
        <v>0</v>
      </c>
      <c r="CA52" s="15" t="n">
        <f aca="false">CA51+BZ52</f>
        <v>0</v>
      </c>
      <c r="CB52" s="15" t="n">
        <f aca="false">IFERROR(LARGE($AM$6:$AP$24,51),0)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266</v>
      </c>
      <c r="U53" s="15" t="n">
        <f aca="false">IF($U$36=1,INDEX($DA$3:$DA$5,$U$13),INDEX($DA$23:$DA$25,$U$14))</f>
        <v>1</v>
      </c>
      <c r="BZ53" s="15" t="n">
        <f aca="false">IFERROR(LARGE($AH$6:$AK$24,52),0)</f>
        <v>0</v>
      </c>
      <c r="CA53" s="15" t="n">
        <f aca="false">CA52+BZ53</f>
        <v>0</v>
      </c>
      <c r="CB53" s="15" t="n">
        <f aca="false">IFERROR(LARGE($AM$6:$AP$24,52),0)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267</v>
      </c>
      <c r="U54" s="15" t="n">
        <f aca="false">IF($U$36=1,INDEX($DB$3:$DB$5,$U$13),INDEX($DB$23:$DB$25,$U$14))</f>
        <v>1</v>
      </c>
      <c r="BZ54" s="15" t="n">
        <f aca="false">IFERROR(LARGE($AH$6:$AK$24,53),0)</f>
        <v>0</v>
      </c>
      <c r="CA54" s="15" t="n">
        <f aca="false">CA53+BZ54</f>
        <v>0</v>
      </c>
      <c r="CB54" s="15" t="n">
        <f aca="false">IFERROR(LARGE($AM$6:$AP$24,53),0)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268</v>
      </c>
      <c r="U55" s="15" t="n">
        <f aca="false">IF($U$36=1,INDEX($DC$3:$DC$5,$U$13),INDEX($DC$23:$DC$25,$U$14))</f>
        <v>1</v>
      </c>
      <c r="BZ55" s="15" t="n">
        <f aca="false">IFERROR(LARGE($AH$6:$AK$24,54),0)</f>
        <v>0</v>
      </c>
      <c r="CA55" s="15" t="n">
        <f aca="false">CA54+BZ55</f>
        <v>0</v>
      </c>
      <c r="CB55" s="15" t="n">
        <f aca="false">IFERROR(LARGE($AM$6:$AP$24,54),0)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269</v>
      </c>
      <c r="U56" s="15" t="n">
        <f aca="false">IF($U$36=1,INDEX($DD$3:$DD$5,$U$13),INDEX($DD$23:$DD$25,$U$14))</f>
        <v>1</v>
      </c>
      <c r="BZ56" s="15" t="n">
        <f aca="false">IFERROR(LARGE($AH$6:$AK$24,55),0)</f>
        <v>0</v>
      </c>
      <c r="CA56" s="15" t="n">
        <f aca="false">CA55+BZ56</f>
        <v>0</v>
      </c>
      <c r="CB56" s="15" t="n">
        <f aca="false">IFERROR(LARGE($AM$6:$AP$24,55),0)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270</v>
      </c>
      <c r="U57" s="15" t="n">
        <f aca="false">IF($U$36=1,INDEX($DE$3:$DE$5,$U$13),INDEX($DE$23:$DE$25,$U$14))</f>
        <v>1</v>
      </c>
      <c r="BZ57" s="15" t="n">
        <f aca="false">IFERROR(LARGE($AH$6:$AK$24,56),0)</f>
        <v>0</v>
      </c>
      <c r="CA57" s="15" t="n">
        <f aca="false">CA56+BZ57</f>
        <v>0</v>
      </c>
      <c r="CB57" s="15" t="n">
        <f aca="false">IFERROR(LARGE($AM$6:$AP$24,56),0)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271</v>
      </c>
      <c r="U58" s="15" t="n">
        <f aca="false">IF($U$36=1,$U$13,$U$14)</f>
        <v>1</v>
      </c>
    </row>
    <row r="59" customFormat="false" ht="15" hidden="false" customHeight="false" outlineLevel="0" collapsed="false">
      <c r="T59" s="15" t="s">
        <v>272</v>
      </c>
      <c r="U59" s="15" t="n">
        <f aca="false">IF($U$36=1,$U$9,$V$9)</f>
        <v>0</v>
      </c>
    </row>
    <row r="60" customFormat="false" ht="15" hidden="false" customHeight="false" outlineLevel="0" collapsed="false">
      <c r="T60" s="15" t="s">
        <v>273</v>
      </c>
      <c r="U60" s="15" t="n">
        <f aca="false">IF($U$36=1,$U$17,$U$22)</f>
        <v>140</v>
      </c>
    </row>
    <row r="61" customFormat="false" ht="15" hidden="false" customHeight="false" outlineLevel="0" collapsed="false">
      <c r="T61" s="15" t="s">
        <v>274</v>
      </c>
      <c r="U61" s="15" t="n">
        <f aca="false">IF($U$36=1,$U$18,$U$23)</f>
        <v>4</v>
      </c>
    </row>
    <row r="62" customFormat="false" ht="15" hidden="false" customHeight="false" outlineLevel="0" collapsed="false">
      <c r="T62" s="15" t="s">
        <v>275</v>
      </c>
      <c r="U62" s="15" t="n">
        <f aca="false">IF($U$36=1,$U$29,$U$32)</f>
        <v>1</v>
      </c>
    </row>
    <row r="63" customFormat="false" ht="15" hidden="false" customHeight="false" outlineLevel="0" collapsed="false">
      <c r="T63" s="15" t="s">
        <v>276</v>
      </c>
      <c r="U63" s="15" t="n">
        <f aca="false">IF($U$36=1,$U$30,$U$33)</f>
        <v>1</v>
      </c>
    </row>
    <row r="64" customFormat="false" ht="15" hidden="false" customHeight="false" outlineLevel="0" collapsed="false">
      <c r="T64" s="15" t="s">
        <v>278</v>
      </c>
      <c r="U64" s="15" t="n">
        <f aca="false">IF($U$36=1,$U$31,$U$34)</f>
        <v>1</v>
      </c>
    </row>
    <row r="65" customFormat="false" ht="15" hidden="false" customHeight="false" outlineLevel="0" collapsed="false">
      <c r="T65" s="15" t="s">
        <v>188</v>
      </c>
      <c r="U65" s="15" t="n">
        <f aca="false">$U$37+$U$60</f>
        <v>420</v>
      </c>
    </row>
    <row r="66" customFormat="false" ht="15" hidden="false" customHeight="false" outlineLevel="0" collapsed="false">
      <c r="T66" s="15" t="s">
        <v>279</v>
      </c>
      <c r="U66" s="15" t="n">
        <f aca="false">IF($U$65&gt;=300,1,0)</f>
        <v>1</v>
      </c>
    </row>
    <row r="67" customFormat="false" ht="15" hidden="false" customHeight="false" outlineLevel="0" collapsed="false">
      <c r="T67" s="15" t="s">
        <v>280</v>
      </c>
      <c r="U67" s="15" t="n">
        <f aca="false">IF($U$47*$U$64*$U$66=1,1,0)</f>
        <v>1</v>
      </c>
    </row>
    <row r="68" customFormat="false" ht="15" hidden="false" customHeight="false" outlineLevel="0" collapsed="false">
      <c r="T68" s="15" t="s">
        <v>281</v>
      </c>
      <c r="U68" s="15" t="n">
        <f aca="false">IF($U$65&lt;300,"",MAX(10,MIN(40,INT((1020-$U$65)/18))))</f>
        <v>33</v>
      </c>
    </row>
    <row r="69" customFormat="false" ht="15" hidden="false" customHeight="false" outlineLevel="0" collapsed="false">
      <c r="T69" s="15" t="s">
        <v>282</v>
      </c>
      <c r="U69" s="15" t="n">
        <f aca="false">IF($U$68="",MAX(0,300-$U$65),IF($U$68&gt;10,1021-18*$U$68-$U$65,""))</f>
        <v>7</v>
      </c>
    </row>
    <row r="70" customFormat="false" ht="15" hidden="false" customHeight="false" outlineLevel="0" collapsed="false">
      <c r="T70" s="0" t="s">
        <v>283</v>
      </c>
      <c r="U70" s="0" t="n">
        <f aca="false">IF($U$68="","",$U$65-IF($U$68&gt;=40,300,1020-18*($U$68+1)+1))</f>
        <v>11</v>
      </c>
    </row>
  </sheetData>
  <sheetProtection sheet="true" formatCells="false" formatColumns="false" formatRows="false"/>
  <mergeCells count="1">
    <mergeCell ref="M6:N6"/>
  </mergeCells>
  <conditionalFormatting sqref="E6:H24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9">
    <cfRule type="expression" priority="5" aboveAverage="0" equalAverage="0" bottom="0" percent="0" rank="0" text="" dxfId="3">
      <formula>AND(ISNUMBER(I6),I6&lt;5)</formula>
    </cfRule>
  </conditionalFormatting>
  <conditionalFormatting sqref="M19:M25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2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8 E9:I9 E11:H24 I26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1:D24" type="list">
      <formula1>"x"</formula1>
      <formula2>0</formula2>
    </dataValidation>
  </dataValidations>
  <hyperlinks>
    <hyperlink ref="B36" r:id="rId2" display="https://mss.rlp.de/abitur-und-fh-reife/qualifikationsbereich-1"/>
    <hyperlink ref="B38" r:id="rId3" display="Online-Rechner Rheinland-Pfalz mit Statistik und PDF-Download: https://www.abi-rechner.com/bundeslander/rheinland-pfalz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Rheinland-Pfalz · abi-rechner.com · Stand September 2026</oddFooter>
  </headerFooter>
  <legacy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438</v>
      </c>
      <c r="T1" s="15" t="s">
        <v>72</v>
      </c>
      <c r="BZ1" s="15" t="s">
        <v>73</v>
      </c>
      <c r="CA1" s="15" t="s">
        <v>74</v>
      </c>
      <c r="CB1" s="15" t="s">
        <v>75</v>
      </c>
      <c r="CC1" s="15" t="s">
        <v>76</v>
      </c>
    </row>
    <row r="2" customFormat="false" ht="15" hidden="false" customHeight="false" outlineLevel="0" collapsed="false">
      <c r="B2" s="2" t="s">
        <v>439</v>
      </c>
      <c r="T2" s="15" t="s">
        <v>78</v>
      </c>
      <c r="U2" s="15" t="n">
        <f aca="false">IFERROR(AVERAGE($E$6:$H$25),7)</f>
        <v>7</v>
      </c>
      <c r="BZ2" s="15" t="n">
        <f aca="false">IFERROR(LARGE($AH$6:$AK$25,1),0)</f>
        <v>0</v>
      </c>
      <c r="CA2" s="15" t="n">
        <f aca="false">BZ2</f>
        <v>0</v>
      </c>
      <c r="CB2" s="15" t="n">
        <f aca="false">IFERROR(LARGE($AM$6:$AP$25,1),0)</f>
        <v>0</v>
      </c>
      <c r="CC2" s="15" t="n">
        <f aca="false">CB2</f>
        <v>0</v>
      </c>
      <c r="CE2" s="15" t="s">
        <v>79</v>
      </c>
      <c r="CF2" s="15" t="s">
        <v>80</v>
      </c>
      <c r="CG2" s="15" t="s">
        <v>81</v>
      </c>
      <c r="CH2" s="15" t="s">
        <v>82</v>
      </c>
      <c r="CI2" s="15" t="s">
        <v>83</v>
      </c>
      <c r="CJ2" s="15" t="s">
        <v>84</v>
      </c>
      <c r="CK2" s="15" t="s">
        <v>85</v>
      </c>
      <c r="CL2" s="15" t="s">
        <v>86</v>
      </c>
      <c r="CM2" s="15" t="s">
        <v>87</v>
      </c>
      <c r="CN2" s="15" t="s">
        <v>88</v>
      </c>
      <c r="CO2" s="15" t="s">
        <v>89</v>
      </c>
      <c r="CP2" s="15" t="s">
        <v>90</v>
      </c>
      <c r="CQ2" s="15" t="s">
        <v>91</v>
      </c>
      <c r="CR2" s="15" t="s">
        <v>92</v>
      </c>
      <c r="CS2" s="15" t="s">
        <v>93</v>
      </c>
      <c r="CT2" s="15" t="s">
        <v>94</v>
      </c>
      <c r="CU2" s="15" t="s">
        <v>95</v>
      </c>
      <c r="CV2" s="15" t="s">
        <v>96</v>
      </c>
      <c r="CW2" s="15" t="s">
        <v>97</v>
      </c>
      <c r="CX2" s="15" t="s">
        <v>98</v>
      </c>
      <c r="CY2" s="15" t="s">
        <v>99</v>
      </c>
      <c r="CZ2" s="15" t="s">
        <v>100</v>
      </c>
      <c r="DA2" s="15" t="s">
        <v>101</v>
      </c>
      <c r="DB2" s="15" t="s">
        <v>102</v>
      </c>
      <c r="DC2" s="15" t="s">
        <v>103</v>
      </c>
      <c r="DD2" s="15" t="s">
        <v>104</v>
      </c>
      <c r="DE2" s="15" t="s">
        <v>105</v>
      </c>
      <c r="DF2" s="15" t="s">
        <v>106</v>
      </c>
      <c r="DG2" s="15" t="s">
        <v>107</v>
      </c>
      <c r="DH2" s="15" t="s">
        <v>108</v>
      </c>
    </row>
    <row r="3" customFormat="false" ht="15" hidden="false" customHeight="false" outlineLevel="0" collapsed="false">
      <c r="B3" s="16" t="s">
        <v>109</v>
      </c>
      <c r="T3" s="15" t="s">
        <v>110</v>
      </c>
      <c r="U3" s="15" t="n">
        <f aca="false">IFERROR(AVERAGE($I$6:$I$10),$U$2)</f>
        <v>7</v>
      </c>
      <c r="BZ3" s="15" t="n">
        <f aca="false">IFERROR(LARGE($AH$6:$AK$25,2),0)</f>
        <v>0</v>
      </c>
      <c r="CA3" s="15" t="n">
        <f aca="false">CA2+BZ3</f>
        <v>0</v>
      </c>
      <c r="CB3" s="15" t="n">
        <f aca="false">IFERROR(LARGE($AM$6:$AP$25,2),0)</f>
        <v>0</v>
      </c>
      <c r="CC3" s="15" t="n">
        <f aca="false">CC2+CB3</f>
        <v>0</v>
      </c>
      <c r="CE3" s="15" t="n">
        <f aca="false">40</f>
        <v>40</v>
      </c>
      <c r="CF3" s="15" t="n">
        <f aca="false">CE3-$U$5-$U$6-0</f>
        <v>20</v>
      </c>
      <c r="CG3" s="15" t="n">
        <f aca="false">MAX(0,CF3)</f>
        <v>20</v>
      </c>
      <c r="CH3" s="15" t="n">
        <f aca="false">MIN(CG3,$U$7)</f>
        <v>0</v>
      </c>
      <c r="CI3" s="15" t="n">
        <f aca="false">CG3-CH3</f>
        <v>20</v>
      </c>
      <c r="CJ3" s="15" t="n">
        <f aca="false">0</f>
        <v>0</v>
      </c>
      <c r="CK3" s="15" t="n">
        <f aca="false">$U$5+CH3+CJ3</f>
        <v>0</v>
      </c>
      <c r="CL3" s="15" t="n">
        <f aca="false">1*AW6+1*AX6+1*AW7+1*AX7</f>
        <v>0</v>
      </c>
      <c r="CM3" s="15" t="n">
        <f aca="false">1*AY6+1*AZ6+1*AY7+1*AZ7+1*AY8+1*AZ8+1*AY9+1*AZ9+1*AY10+1*AZ10+SUM($AA$12:$AA$25)</f>
        <v>0</v>
      </c>
      <c r="CN3" s="15" t="n">
        <f aca="false">IF(CH3=0,0,INDEX($CA$2:$CA$57,CH3))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MIN(600,INT((CO3)+0.5+0.000000001))</f>
        <v>0</v>
      </c>
      <c r="CR3" s="15" t="n">
        <f aca="false">$U$9+CT3</f>
        <v>0</v>
      </c>
      <c r="CS3" s="15" t="n">
        <f aca="false">8</f>
        <v>8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1</f>
        <v>1</v>
      </c>
      <c r="CY3" s="15" t="n">
        <f aca="false">1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40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111</v>
      </c>
      <c r="U4" s="15" t="n">
        <f aca="false">IF(COUNT($E$6:$H$25,$I$6:$I$10)&gt;0,1,0)</f>
        <v>0</v>
      </c>
      <c r="BZ4" s="15" t="n">
        <f aca="false">IFERROR(LARGE($AH$6:$AK$25,3),0)</f>
        <v>0</v>
      </c>
      <c r="CA4" s="15" t="n">
        <f aca="false">CA3+BZ4</f>
        <v>0</v>
      </c>
      <c r="CB4" s="15" t="n">
        <f aca="false">IFERROR(LARGE($AM$6:$AP$25,3),0)</f>
        <v>0</v>
      </c>
      <c r="CC4" s="15" t="n">
        <f aca="false">CC3+CB4</f>
        <v>0</v>
      </c>
    </row>
    <row r="5" customFormat="false" ht="30" hidden="false" customHeight="true" outlineLevel="0" collapsed="false">
      <c r="B5" s="17" t="s">
        <v>9</v>
      </c>
      <c r="C5" s="17" t="s">
        <v>112</v>
      </c>
      <c r="D5" s="18"/>
      <c r="E5" s="18" t="s">
        <v>113</v>
      </c>
      <c r="F5" s="18" t="s">
        <v>114</v>
      </c>
      <c r="G5" s="18" t="s">
        <v>115</v>
      </c>
      <c r="H5" s="18" t="s">
        <v>116</v>
      </c>
      <c r="I5" s="18" t="s">
        <v>11</v>
      </c>
      <c r="J5" s="18" t="s">
        <v>117</v>
      </c>
      <c r="L5" s="19" t="s">
        <v>118</v>
      </c>
      <c r="M5" s="20"/>
      <c r="N5" s="20"/>
      <c r="T5" s="15" t="s">
        <v>119</v>
      </c>
      <c r="U5" s="15" t="n">
        <f aca="false">AY6+AY7+AY8+AY9+AY10+AZ6+AZ7+AZ8+AZ9+AZ10+SUM($AA$12:$AA$25)</f>
        <v>0</v>
      </c>
      <c r="V5" s="15" t="n">
        <f aca="false">BG6+BG7+BG8+BG9+BG10+BH6+BH7+BH8+BH9+BH10+SUM($AE$12:$AE$25)</f>
        <v>20</v>
      </c>
      <c r="AH5" s="15" t="s">
        <v>120</v>
      </c>
      <c r="AM5" s="15" t="s">
        <v>121</v>
      </c>
      <c r="AR5" s="15" t="s">
        <v>122</v>
      </c>
      <c r="AW5" s="15" t="s">
        <v>123</v>
      </c>
      <c r="AX5" s="15" t="s">
        <v>124</v>
      </c>
      <c r="AY5" s="15" t="s">
        <v>125</v>
      </c>
      <c r="AZ5" s="15" t="s">
        <v>126</v>
      </c>
      <c r="BA5" s="15" t="s">
        <v>127</v>
      </c>
      <c r="BB5" s="15" t="s">
        <v>128</v>
      </c>
      <c r="BC5" s="15" t="s">
        <v>129</v>
      </c>
      <c r="BD5" s="15" t="s">
        <v>130</v>
      </c>
      <c r="BE5" s="15" t="s">
        <v>131</v>
      </c>
      <c r="BF5" s="15" t="s">
        <v>132</v>
      </c>
      <c r="BG5" s="15" t="s">
        <v>133</v>
      </c>
      <c r="BH5" s="15" t="s">
        <v>134</v>
      </c>
      <c r="BI5" s="15" t="s">
        <v>135</v>
      </c>
      <c r="BJ5" s="15" t="s">
        <v>136</v>
      </c>
      <c r="BK5" s="15" t="s">
        <v>137</v>
      </c>
      <c r="BL5" s="15" t="s">
        <v>138</v>
      </c>
      <c r="BN5" s="15" t="s">
        <v>139</v>
      </c>
      <c r="BO5" s="15" t="s">
        <v>140</v>
      </c>
      <c r="BP5" s="15" t="s">
        <v>141</v>
      </c>
      <c r="BQ5" s="15" t="s">
        <v>128</v>
      </c>
      <c r="BR5" s="15" t="s">
        <v>142</v>
      </c>
      <c r="BT5" s="15" t="s">
        <v>143</v>
      </c>
      <c r="BU5" s="15" t="s">
        <v>144</v>
      </c>
      <c r="BV5" s="15" t="s">
        <v>145</v>
      </c>
      <c r="BW5" s="15" t="s">
        <v>136</v>
      </c>
      <c r="BX5" s="15" t="s">
        <v>146</v>
      </c>
      <c r="BZ5" s="15" t="n">
        <f aca="false">IFERROR(LARGE($AH$6:$AK$25,4),0)</f>
        <v>0</v>
      </c>
      <c r="CA5" s="15" t="n">
        <f aca="false">CA4+BZ5</f>
        <v>0</v>
      </c>
      <c r="CB5" s="15" t="n">
        <f aca="false">IFERROR(LARGE($AM$6:$AP$25,4),0)</f>
        <v>0</v>
      </c>
      <c r="CC5" s="15" t="n">
        <f aca="false">CC4+CB5</f>
        <v>0</v>
      </c>
    </row>
    <row r="6" customFormat="false" ht="39.75" hidden="false" customHeight="true" outlineLevel="0" collapsed="false">
      <c r="B6" s="21" t="s">
        <v>440</v>
      </c>
      <c r="C6" s="22"/>
      <c r="D6" s="23" t="s">
        <v>148</v>
      </c>
      <c r="E6" s="24"/>
      <c r="F6" s="24"/>
      <c r="G6" s="24"/>
      <c r="H6" s="24"/>
      <c r="I6" s="25"/>
      <c r="J6" s="24"/>
      <c r="L6" s="26" t="s">
        <v>149</v>
      </c>
      <c r="M6" s="27" t="str">
        <f aca="false">IF($U$4=0,"Noch keine Eingaben – trag deine Punkte in die gelben Felder ein.",IF($U$35=1,"Endergebnis (alle Felder ausgefüllt)","Prognose: "&amp;$U$34&amp;" Felder offen, gefüllt mit deinem Schnitt von "&amp;FIXED($U$2,1)&amp;" Punkten"))</f>
        <v>Noch keine Eingaben – trag deine Punkte in die gelben Felder ein.</v>
      </c>
      <c r="N6" s="27"/>
      <c r="T6" s="15" t="s">
        <v>150</v>
      </c>
      <c r="U6" s="15" t="n">
        <f aca="false">BC6+BC7+BC8+BC9+BC10</f>
        <v>20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IF(BN6="","",IF(ISNUMBER($J$6),INT(((2*BN6+$J$6)/3*$U$15)+0.5+0.000000001),BN6*$U$15))</f>
        <v/>
      </c>
      <c r="BP6" s="15" t="n">
        <f aca="false">IF(BO6="",0,IF(BO6&gt;=5*$U$15-0.000000001,1,0))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IF(BT6="","",IF(ISNUMBER($J$6),INT(((2*BT6+$J$6)/3*$U$15)+0.5+0.000000001),BT6*$U$15))</f>
        <v>28</v>
      </c>
      <c r="BV6" s="15" t="n">
        <f aca="false">IF(BU6="",0,IF(BU6&gt;=5*$U$15-0.000000001,1,0))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IFERROR(LARGE($AH$6:$AK$25,5),0)</f>
        <v>0</v>
      </c>
      <c r="CA6" s="15" t="n">
        <f aca="false">CA5+BZ6</f>
        <v>0</v>
      </c>
      <c r="CB6" s="15" t="n">
        <f aca="false">IFERROR(LARGE($AM$6:$AP$25,5),0)</f>
        <v>0</v>
      </c>
      <c r="CC6" s="15" t="n">
        <f aca="false">CC5+CB6</f>
        <v>0</v>
      </c>
    </row>
    <row r="7" customFormat="false" ht="37.5" hidden="false" customHeight="true" outlineLevel="0" collapsed="false">
      <c r="B7" s="21" t="s">
        <v>441</v>
      </c>
      <c r="C7" s="22"/>
      <c r="D7" s="23" t="s">
        <v>148</v>
      </c>
      <c r="E7" s="24"/>
      <c r="F7" s="24"/>
      <c r="G7" s="24"/>
      <c r="H7" s="24"/>
      <c r="I7" s="25"/>
      <c r="J7" s="24"/>
      <c r="L7" s="26" t="s">
        <v>152</v>
      </c>
      <c r="M7" s="28" t="str">
        <f aca="false">IF($U$4=0,"",$U$36)</f>
        <v/>
      </c>
      <c r="N7" s="29" t="s">
        <v>153</v>
      </c>
      <c r="T7" s="15" t="s">
        <v>154</v>
      </c>
      <c r="U7" s="15" t="n">
        <f aca="false">COUNT($AH$6:$AK$25)</f>
        <v>0</v>
      </c>
      <c r="V7" s="15" t="n">
        <f aca="false">COUNT($AM$6:$AP$25)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IF(BN7="","",IF(ISNUMBER($J$7),INT(((2*BN7+$J$7)/3*$U$15)+0.5+0.000000001),BN7*$U$15))</f>
        <v/>
      </c>
      <c r="BP7" s="15" t="n">
        <f aca="false">IF(BO7="",0,IF(BO7&gt;=5*$U$15-0.000000001,1,0))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IF(BT7="","",IF(ISNUMBER($J$7),INT(((2*BT7+$J$7)/3*$U$15)+0.5+0.000000001),BT7*$U$15))</f>
        <v>28</v>
      </c>
      <c r="BV7" s="15" t="n">
        <f aca="false">IF(BU7="",0,IF(BU7&gt;=5*$U$15-0.000000001,1,0))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IFERROR(LARGE($AH$6:$AK$25,6),0)</f>
        <v>0</v>
      </c>
      <c r="CA7" s="15" t="n">
        <f aca="false">CA6+BZ7</f>
        <v>0</v>
      </c>
      <c r="CB7" s="15" t="n">
        <f aca="false">IFERROR(LARGE($AM$6:$AP$25,6),0)</f>
        <v>0</v>
      </c>
      <c r="CC7" s="15" t="n">
        <f aca="false">CC6+CB7</f>
        <v>0</v>
      </c>
    </row>
    <row r="8" customFormat="false" ht="37.5" hidden="false" customHeight="true" outlineLevel="0" collapsed="false">
      <c r="B8" s="21" t="s">
        <v>442</v>
      </c>
      <c r="C8" s="22"/>
      <c r="D8" s="23" t="s">
        <v>148</v>
      </c>
      <c r="E8" s="24"/>
      <c r="F8" s="24"/>
      <c r="G8" s="24"/>
      <c r="H8" s="24"/>
      <c r="I8" s="25"/>
      <c r="J8" s="24"/>
      <c r="L8" s="26" t="s">
        <v>156</v>
      </c>
      <c r="M8" s="28" t="str">
        <f aca="false">IF($U$4=0,"",$U$59)</f>
        <v/>
      </c>
      <c r="N8" s="29" t="s">
        <v>157</v>
      </c>
      <c r="T8" s="15" t="s">
        <v>158</v>
      </c>
      <c r="U8" s="15" t="n">
        <f aca="false">COUNTIF($AH$6:$AK$25,"&gt;=5")</f>
        <v>0</v>
      </c>
      <c r="V8" s="15" t="n">
        <f aca="false">COUNTIF($AM$6:$AP$25,"&gt;=5")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IF(BN8="","",IF(ISNUMBER($J$8),INT(((2*BN8+$J$8)/3*$U$15)+0.5+0.000000001),BN8*$U$15))</f>
        <v/>
      </c>
      <c r="BP8" s="15" t="n">
        <f aca="false">IF(BO8="",0,IF(BO8&gt;=5*$U$15-0.000000001,1,0))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IF(BT8="","",IF(ISNUMBER($J$8),INT(((2*BT8+$J$8)/3*$U$15)+0.5+0.000000001),BT8*$U$15))</f>
        <v>28</v>
      </c>
      <c r="BV8" s="15" t="n">
        <f aca="false">IF(BU8="",0,IF(BU8&gt;=5*$U$15-0.000000001,1,0))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IFERROR(LARGE($AH$6:$AK$25,7),0)</f>
        <v>0</v>
      </c>
      <c r="CA8" s="15" t="n">
        <f aca="false">CA7+BZ8</f>
        <v>0</v>
      </c>
      <c r="CB8" s="15" t="n">
        <f aca="false">IFERROR(LARGE($AM$6:$AP$25,7),0)</f>
        <v>0</v>
      </c>
      <c r="CC8" s="15" t="n">
        <f aca="false">CC7+CB8</f>
        <v>0</v>
      </c>
    </row>
    <row r="9" customFormat="false" ht="37.5" hidden="false" customHeight="true" outlineLevel="0" collapsed="false">
      <c r="B9" s="21" t="s">
        <v>443</v>
      </c>
      <c r="C9" s="22"/>
      <c r="D9" s="23" t="s">
        <v>148</v>
      </c>
      <c r="E9" s="24"/>
      <c r="F9" s="24"/>
      <c r="G9" s="24"/>
      <c r="H9" s="24"/>
      <c r="I9" s="25"/>
      <c r="J9" s="24"/>
      <c r="L9" s="31" t="s">
        <v>161</v>
      </c>
      <c r="M9" s="32" t="str">
        <f aca="false">IF($U$4=0,"",$U$64)</f>
        <v/>
      </c>
      <c r="N9" s="29" t="s">
        <v>162</v>
      </c>
      <c r="T9" s="15" t="s">
        <v>163</v>
      </c>
      <c r="U9" s="15" t="n">
        <f aca="false">BA6+BA7</f>
        <v>0</v>
      </c>
      <c r="V9" s="15" t="n">
        <f aca="false">BI6+BI7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IF(BN9="","",IF(ISNUMBER($J$9),INT(((2*BN9+$J$9)/3*$U$15)+0.5+0.000000001),BN9*$U$15))</f>
        <v/>
      </c>
      <c r="BP9" s="15" t="n">
        <f aca="false">IF(BO9="",0,IF(BO9&gt;=5*$U$15-0.000000001,1,0))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IF(BT9="","",IF(ISNUMBER($J$9),INT(((2*BT9+$J$9)/3*$U$15)+0.5+0.000000001),BT9*$U$15))</f>
        <v>28</v>
      </c>
      <c r="BV9" s="15" t="n">
        <f aca="false">IF(BU9="",0,IF(BU9&gt;=5*$U$15-0.000000001,1,0))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IFERROR(LARGE($AH$6:$AK$25,8),0)</f>
        <v>0</v>
      </c>
      <c r="CA9" s="15" t="n">
        <f aca="false">CA8+BZ9</f>
        <v>0</v>
      </c>
      <c r="CB9" s="15" t="n">
        <f aca="false">IFERROR(LARGE($AM$6:$AP$25,8),0)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21" t="s">
        <v>444</v>
      </c>
      <c r="C10" s="22"/>
      <c r="D10" s="23" t="s">
        <v>148</v>
      </c>
      <c r="E10" s="24"/>
      <c r="F10" s="24"/>
      <c r="G10" s="24"/>
      <c r="H10" s="24"/>
      <c r="I10" s="25"/>
      <c r="J10" s="30" t="s">
        <v>160</v>
      </c>
      <c r="L10" s="31" t="s">
        <v>165</v>
      </c>
      <c r="M10" s="33" t="str">
        <f aca="false">IF($U$4=0,"",IF($U$66=1,$U$67/10,"nicht bestanden"))</f>
        <v/>
      </c>
      <c r="N10" s="29"/>
      <c r="T10" s="15" t="s">
        <v>166</v>
      </c>
      <c r="U10" s="15" t="n">
        <f aca="false">BA8+BA9+BA10+SUM($AB$12:$AB$25)</f>
        <v>0</v>
      </c>
      <c r="V10" s="15" t="n">
        <f aca="false">BI8+BI9+BI10+SUM($AF$12:$AF$25)</f>
        <v>0</v>
      </c>
      <c r="AR10" s="15" t="n">
        <f aca="false">IF(ISNUMBER(E10),1,0)</f>
        <v>0</v>
      </c>
      <c r="AS10" s="15" t="n">
        <f aca="false">IF(ISNUMBER(F10),1,0)</f>
        <v>0</v>
      </c>
      <c r="AT10" s="15" t="n">
        <f aca="false">IF(ISNUMBER(G10),1,0)</f>
        <v>0</v>
      </c>
      <c r="AU10" s="15" t="n">
        <f aca="false">IF(ISNUMBER(H10),1,0)</f>
        <v>0</v>
      </c>
      <c r="AW10" s="15" t="n">
        <f aca="false">SUM(E10:G10)</f>
        <v>0</v>
      </c>
      <c r="AX10" s="15" t="n">
        <f aca="false">SUM(H10:H10)</f>
        <v>0</v>
      </c>
      <c r="AY10" s="15" t="n">
        <f aca="false">COUNT(E10:G10)</f>
        <v>0</v>
      </c>
      <c r="AZ10" s="15" t="n">
        <f aca="false">COUNT(H10:H10)</f>
        <v>0</v>
      </c>
      <c r="BA10" s="15" t="n">
        <f aca="false">COUNTIF(E10:H10,"&lt;5")</f>
        <v>0</v>
      </c>
      <c r="BB10" s="15" t="n">
        <f aca="false">COUNTIF(E10:H10,0)</f>
        <v>0</v>
      </c>
      <c r="BC10" s="15" t="n">
        <f aca="false">4-COUNT(E10:H10)</f>
        <v>4</v>
      </c>
      <c r="BD10" s="15" t="n">
        <f aca="false">SUM(E10:H10)</f>
        <v>0</v>
      </c>
      <c r="BE10" s="15" t="n">
        <f aca="false">SUM(E10:G10)+$U$2*(3-COUNT(E10:G10))</f>
        <v>21</v>
      </c>
      <c r="BF10" s="15" t="n">
        <f aca="false">SUM(H10:H10)+$U$2*(1-COUNT(H10:H10))</f>
        <v>7</v>
      </c>
      <c r="BG10" s="15" t="n">
        <f aca="false">3</f>
        <v>3</v>
      </c>
      <c r="BH10" s="15" t="n">
        <f aca="false">1</f>
        <v>1</v>
      </c>
      <c r="BI10" s="15" t="n">
        <f aca="false">COUNTIF(E10:H10,"&lt;5")+IF($U$2&lt;5,1,0)*(4-COUNT(E10:H10))</f>
        <v>0</v>
      </c>
      <c r="BJ10" s="15" t="n">
        <f aca="false">COUNTIF(E10:H10,0)</f>
        <v>0</v>
      </c>
      <c r="BK10" s="15" t="n">
        <f aca="false">0</f>
        <v>0</v>
      </c>
      <c r="BL10" s="15" t="n">
        <f aca="false">SUM(E10:H10)+$U$2*(4-COUNT(E10:H10))</f>
        <v>28</v>
      </c>
      <c r="BN10" s="15" t="str">
        <f aca="false">IF(ISNUMBER($I$10),$I$10,"")</f>
        <v/>
      </c>
      <c r="BO10" s="15" t="str">
        <f aca="false">IF(BN10="","",BN10*$U$15)</f>
        <v/>
      </c>
      <c r="BP10" s="15" t="n">
        <f aca="false">IF(BO10="",0,IF(BO10&gt;=5*$U$15-0.000000001,1,0))</f>
        <v>0</v>
      </c>
      <c r="BQ10" s="15" t="n">
        <f aca="false">IF(BO10="",0,IF(BO10&lt;0.000000001,1,0))</f>
        <v>0</v>
      </c>
      <c r="BR10" s="15" t="n">
        <f aca="false">0</f>
        <v>0</v>
      </c>
      <c r="BT10" s="15" t="n">
        <f aca="false">IF(ISNUMBER($I$10),$I$10,$U$3)</f>
        <v>7</v>
      </c>
      <c r="BU10" s="15" t="n">
        <f aca="false">IF(BT10="","",BT10*$U$15)</f>
        <v>28</v>
      </c>
      <c r="BV10" s="15" t="n">
        <f aca="false">IF(BU10="",0,IF(BU10&gt;=5*$U$15-0.000000001,1,0))</f>
        <v>1</v>
      </c>
      <c r="BW10" s="15" t="n">
        <f aca="false">IF(BU10="",0,IF(BU10&lt;0.000000001,1,0))</f>
        <v>0</v>
      </c>
      <c r="BX10" s="15" t="n">
        <f aca="false">0</f>
        <v>0</v>
      </c>
      <c r="BZ10" s="15" t="n">
        <f aca="false">IFERROR(LARGE($AH$6:$AK$25,9),0)</f>
        <v>0</v>
      </c>
      <c r="CA10" s="15" t="n">
        <f aca="false">CA9+BZ10</f>
        <v>0</v>
      </c>
      <c r="CB10" s="15" t="n">
        <f aca="false">IFERROR(LARGE($AM$6:$AP$25,9),0)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6" t="s">
        <v>167</v>
      </c>
      <c r="C11" s="6" t="s">
        <v>112</v>
      </c>
      <c r="D11" s="34" t="s">
        <v>168</v>
      </c>
      <c r="E11" s="35" t="s">
        <v>113</v>
      </c>
      <c r="F11" s="35" t="s">
        <v>114</v>
      </c>
      <c r="G11" s="35" t="s">
        <v>115</v>
      </c>
      <c r="H11" s="35" t="s">
        <v>116</v>
      </c>
      <c r="I11" s="20"/>
      <c r="J11" s="20"/>
      <c r="L11" s="26" t="s">
        <v>169</v>
      </c>
      <c r="M11" s="28" t="str">
        <f aca="false">IF($U$4=0,"",IF($U$68="","–",$U$68))</f>
        <v/>
      </c>
      <c r="N11" s="29" t="str">
        <f aca="false">IF($U$4=0,"",IF($U$67="","Punkte bis 300",IF($U$68="","Bestnote erreicht","Punkte → "&amp;FIXED(($U$67-1)/10,1))))</f>
        <v/>
      </c>
      <c r="T11" s="15" t="s">
        <v>170</v>
      </c>
      <c r="U11" s="15" t="n">
        <f aca="false">AW8+AW9+AW10+AX8+AX9+AX10+SUM($Z$12:$Z$25)</f>
        <v>0</v>
      </c>
      <c r="V11" s="15" t="n">
        <f aca="false">BE8+BE9+BE10+BF8+BF9+BF10+SUM($AD$12:$AD$25)</f>
        <v>84</v>
      </c>
      <c r="X11" s="15" t="s">
        <v>171</v>
      </c>
      <c r="Y11" s="15" t="s">
        <v>172</v>
      </c>
      <c r="Z11" s="15" t="s">
        <v>173</v>
      </c>
      <c r="AA11" s="15" t="s">
        <v>174</v>
      </c>
      <c r="AB11" s="15" t="s">
        <v>127</v>
      </c>
      <c r="AC11" s="15" t="s">
        <v>128</v>
      </c>
      <c r="AD11" s="15" t="s">
        <v>175</v>
      </c>
      <c r="AE11" s="15" t="s">
        <v>176</v>
      </c>
      <c r="AF11" s="15" t="s">
        <v>135</v>
      </c>
      <c r="BZ11" s="15" t="n">
        <f aca="false">IFERROR(LARGE($AH$6:$AK$25,10),0)</f>
        <v>0</v>
      </c>
      <c r="CA11" s="15" t="n">
        <f aca="false">CA10+BZ11</f>
        <v>0</v>
      </c>
      <c r="CB11" s="15" t="n">
        <f aca="false">IFERROR(LARGE($AM$6:$AP$25,10),0)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6" t="s">
        <v>177</v>
      </c>
      <c r="C12" s="37"/>
      <c r="D12" s="38"/>
      <c r="E12" s="24"/>
      <c r="F12" s="24"/>
      <c r="G12" s="24"/>
      <c r="H12" s="24"/>
      <c r="I12" s="39"/>
      <c r="J12" s="39"/>
      <c r="L12" s="26" t="s">
        <v>178</v>
      </c>
      <c r="M12" s="28" t="str">
        <f aca="false">IF(OR($U$4=0,$U$69=""),"",$U$69)</f>
        <v/>
      </c>
      <c r="N12" s="29" t="str">
        <f aca="false">IF(OR($U$4=0,$U$69=""),"","Punkte Luft")</f>
        <v/>
      </c>
      <c r="T12" s="15" t="s">
        <v>179</v>
      </c>
      <c r="U12" s="15" t="n">
        <f aca="false">BB6+BB7+BB8+BB9+BB10+SUM($AC$12:$AC$25)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IF(Y12=1,IF(ISNUMBER(E12),1,0),IF(AH12="",0,IF(IF($U$35=1,COUNTIF($AH$6:$AK$25,"&gt;"&amp;AH12),COUNTIF($AM$6:$AP$25,"&gt;"&amp;AH12))+COUNTIF($AH$6:$AK$11,AH12)+1&lt;=$U$45,1,0)))</f>
        <v>0</v>
      </c>
      <c r="AS12" s="15" t="n">
        <f aca="false">IF(Y12=1,IF(ISNUMBER(F12),1,0),IF(AI12="",0,IF(IF($U$35=1,COUNTIF($AH$6:$AK$25,"&gt;"&amp;AI12),COUNTIF($AM$6:$AP$25,"&gt;"&amp;AI12))+COUNTIF($AH$6:$AK$11,AI12)+COUNTIF($AH12:AH12,AI12)+1&lt;=$U$45,1,0)))</f>
        <v>0</v>
      </c>
      <c r="AT12" s="15" t="n">
        <f aca="false">IF(Y12=1,IF(ISNUMBER(G12),1,0),IF(AJ12="",0,IF(IF($U$35=1,COUNTIF($AH$6:$AK$25,"&gt;"&amp;AJ12),COUNTIF($AM$6:$AP$25,"&gt;"&amp;AJ12))+COUNTIF($AH$6:$AK$11,AJ12)+COUNTIF($AH12:AI12,AJ12)+1&lt;=$U$45,1,0)))</f>
        <v>0</v>
      </c>
      <c r="AU12" s="15" t="n">
        <f aca="false">IF(Y12=1,IF(ISNUMBER(H12),1,0),IF(AK12="",0,IF(IF($U$35=1,COUNTIF($AH$6:$AK$25,"&gt;"&amp;AK12),COUNTIF($AM$6:$AP$25,"&gt;"&amp;AK12))+COUNTIF($AH$6:$AK$11,AK12)+COUNTIF($AH12:AJ12,AK12)+1&lt;=$U$45,1,0)))</f>
        <v>0</v>
      </c>
      <c r="BZ12" s="15" t="n">
        <f aca="false">IFERROR(LARGE($AH$6:$AK$25,11),0)</f>
        <v>0</v>
      </c>
      <c r="CA12" s="15" t="n">
        <f aca="false">CA11+BZ12</f>
        <v>0</v>
      </c>
      <c r="CB12" s="15" t="n">
        <f aca="false">IFERROR(LARGE($AM$6:$AP$25,11),0)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180</v>
      </c>
      <c r="C13" s="37"/>
      <c r="D13" s="38"/>
      <c r="E13" s="24"/>
      <c r="F13" s="24"/>
      <c r="G13" s="24"/>
      <c r="H13" s="24"/>
      <c r="I13" s="39"/>
      <c r="J13" s="39"/>
      <c r="L13" s="26" t="s">
        <v>181</v>
      </c>
      <c r="M13" s="28" t="str">
        <f aca="false">IF($U$4=0,"",$U$37)</f>
        <v/>
      </c>
      <c r="N13" s="29" t="str">
        <f aca="false">IF($U$4=0,"","Summe der eingebrachten Punkte")</f>
        <v/>
      </c>
      <c r="T13" s="15" t="s">
        <v>182</v>
      </c>
      <c r="U13" s="15" t="n">
        <f aca="false">MATCH(MAX($DH$3:$DH$3),$DH$3:$DH$3,0)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IF(Y13=1,IF(ISNUMBER(E13),1,0),IF(AH13="",0,IF(IF($U$35=1,COUNTIF($AH$6:$AK$25,"&gt;"&amp;AH13),COUNTIF($AM$6:$AP$25,"&gt;"&amp;AH13))+COUNTIF($AH$6:$AK$12,AH13)+1&lt;=$U$45,1,0)))</f>
        <v>0</v>
      </c>
      <c r="AS13" s="15" t="n">
        <f aca="false">IF(Y13=1,IF(ISNUMBER(F13),1,0),IF(AI13="",0,IF(IF($U$35=1,COUNTIF($AH$6:$AK$25,"&gt;"&amp;AI13),COUNTIF($AM$6:$AP$25,"&gt;"&amp;AI13))+COUNTIF($AH$6:$AK$12,AI13)+COUNTIF($AH13:AH13,AI13)+1&lt;=$U$45,1,0)))</f>
        <v>0</v>
      </c>
      <c r="AT13" s="15" t="n">
        <f aca="false">IF(Y13=1,IF(ISNUMBER(G13),1,0),IF(AJ13="",0,IF(IF($U$35=1,COUNTIF($AH$6:$AK$25,"&gt;"&amp;AJ13),COUNTIF($AM$6:$AP$25,"&gt;"&amp;AJ13))+COUNTIF($AH$6:$AK$12,AJ13)+COUNTIF($AH13:AI13,AJ13)+1&lt;=$U$45,1,0)))</f>
        <v>0</v>
      </c>
      <c r="AU13" s="15" t="n">
        <f aca="false">IF(Y13=1,IF(ISNUMBER(H13),1,0),IF(AK13="",0,IF(IF($U$35=1,COUNTIF($AH$6:$AK$25,"&gt;"&amp;AK13),COUNTIF($AM$6:$AP$25,"&gt;"&amp;AK13))+COUNTIF($AH$6:$AK$12,AK13)+COUNTIF($AH13:AJ13,AK13)+1&lt;=$U$45,1,0)))</f>
        <v>0</v>
      </c>
      <c r="BZ13" s="15" t="n">
        <f aca="false">IFERROR(LARGE($AH$6:$AK$25,12),0)</f>
        <v>0</v>
      </c>
      <c r="CA13" s="15" t="n">
        <f aca="false">CA12+BZ13</f>
        <v>0</v>
      </c>
      <c r="CB13" s="15" t="n">
        <f aca="false">IFERROR(LARGE($AM$6:$AP$25,12),0)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183</v>
      </c>
      <c r="C14" s="37"/>
      <c r="D14" s="38"/>
      <c r="E14" s="24"/>
      <c r="F14" s="24"/>
      <c r="G14" s="24"/>
      <c r="H14" s="24"/>
      <c r="I14" s="39"/>
      <c r="J14" s="39"/>
      <c r="L14" s="26" t="s">
        <v>184</v>
      </c>
      <c r="M14" s="28" t="str">
        <f aca="false">IF($U$4=0,"",$U$38)</f>
        <v/>
      </c>
      <c r="N14" s="29" t="str">
        <f aca="false">IF($U$4=0,"","erlaubt: höchstens "&amp;$U$39)</f>
        <v/>
      </c>
      <c r="T14" s="15" t="s">
        <v>185</v>
      </c>
      <c r="U14" s="15" t="n">
        <f aca="false">MATCH(MAX($DH$23:$DH$23),$DH$23:$DH$23,0)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IF(Y14=1,IF(ISNUMBER(E14),1,0),IF(AH14="",0,IF(IF($U$35=1,COUNTIF($AH$6:$AK$25,"&gt;"&amp;AH14),COUNTIF($AM$6:$AP$25,"&gt;"&amp;AH14))+COUNTIF($AH$6:$AK$13,AH14)+1&lt;=$U$45,1,0)))</f>
        <v>0</v>
      </c>
      <c r="AS14" s="15" t="n">
        <f aca="false">IF(Y14=1,IF(ISNUMBER(F14),1,0),IF(AI14="",0,IF(IF($U$35=1,COUNTIF($AH$6:$AK$25,"&gt;"&amp;AI14),COUNTIF($AM$6:$AP$25,"&gt;"&amp;AI14))+COUNTIF($AH$6:$AK$13,AI14)+COUNTIF($AH14:AH14,AI14)+1&lt;=$U$45,1,0)))</f>
        <v>0</v>
      </c>
      <c r="AT14" s="15" t="n">
        <f aca="false">IF(Y14=1,IF(ISNUMBER(G14),1,0),IF(AJ14="",0,IF(IF($U$35=1,COUNTIF($AH$6:$AK$25,"&gt;"&amp;AJ14),COUNTIF($AM$6:$AP$25,"&gt;"&amp;AJ14))+COUNTIF($AH$6:$AK$13,AJ14)+COUNTIF($AH14:AI14,AJ14)+1&lt;=$U$45,1,0)))</f>
        <v>0</v>
      </c>
      <c r="AU14" s="15" t="n">
        <f aca="false">IF(Y14=1,IF(ISNUMBER(H14),1,0),IF(AK14="",0,IF(IF($U$35=1,COUNTIF($AH$6:$AK$25,"&gt;"&amp;AK14),COUNTIF($AM$6:$AP$25,"&gt;"&amp;AK14))+COUNTIF($AH$6:$AK$13,AK14)+COUNTIF($AH14:AJ14,AK14)+1&lt;=$U$45,1,0)))</f>
        <v>0</v>
      </c>
      <c r="BZ14" s="15" t="n">
        <f aca="false">IFERROR(LARGE($AH$6:$AK$25,13),0)</f>
        <v>0</v>
      </c>
      <c r="CA14" s="15" t="n">
        <f aca="false">CA13+BZ14</f>
        <v>0</v>
      </c>
      <c r="CB14" s="15" t="n">
        <f aca="false">IFERROR(LARGE($AM$6:$AP$25,13),0)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186</v>
      </c>
      <c r="C15" s="37"/>
      <c r="D15" s="38"/>
      <c r="E15" s="24"/>
      <c r="F15" s="24"/>
      <c r="G15" s="24"/>
      <c r="H15" s="24"/>
      <c r="I15" s="39"/>
      <c r="J15" s="39"/>
      <c r="L15" s="26" t="s">
        <v>187</v>
      </c>
      <c r="M15" s="28" t="str">
        <f aca="false">IF($U$4=0,"","+"&amp;$U$15)</f>
        <v/>
      </c>
      <c r="N15" s="29" t="s">
        <v>188</v>
      </c>
      <c r="T15" s="15" t="s">
        <v>189</v>
      </c>
      <c r="U15" s="15" t="n">
        <f aca="false">4</f>
        <v>4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IF(Y15=1,IF(ISNUMBER(E15),1,0),IF(AH15="",0,IF(IF($U$35=1,COUNTIF($AH$6:$AK$25,"&gt;"&amp;AH15),COUNTIF($AM$6:$AP$25,"&gt;"&amp;AH15))+COUNTIF($AH$6:$AK$14,AH15)+1&lt;=$U$45,1,0)))</f>
        <v>0</v>
      </c>
      <c r="AS15" s="15" t="n">
        <f aca="false">IF(Y15=1,IF(ISNUMBER(F15),1,0),IF(AI15="",0,IF(IF($U$35=1,COUNTIF($AH$6:$AK$25,"&gt;"&amp;AI15),COUNTIF($AM$6:$AP$25,"&gt;"&amp;AI15))+COUNTIF($AH$6:$AK$14,AI15)+COUNTIF($AH15:AH15,AI15)+1&lt;=$U$45,1,0)))</f>
        <v>0</v>
      </c>
      <c r="AT15" s="15" t="n">
        <f aca="false">IF(Y15=1,IF(ISNUMBER(G15),1,0),IF(AJ15="",0,IF(IF($U$35=1,COUNTIF($AH$6:$AK$25,"&gt;"&amp;AJ15),COUNTIF($AM$6:$AP$25,"&gt;"&amp;AJ15))+COUNTIF($AH$6:$AK$14,AJ15)+COUNTIF($AH15:AI15,AJ15)+1&lt;=$U$45,1,0)))</f>
        <v>0</v>
      </c>
      <c r="AU15" s="15" t="n">
        <f aca="false">IF(Y15=1,IF(ISNUMBER(H15),1,0),IF(AK15="",0,IF(IF($U$35=1,COUNTIF($AH$6:$AK$25,"&gt;"&amp;AK15),COUNTIF($AM$6:$AP$25,"&gt;"&amp;AK15))+COUNTIF($AH$6:$AK$14,AK15)+COUNTIF($AH15:AJ15,AK15)+1&lt;=$U$45,1,0)))</f>
        <v>0</v>
      </c>
      <c r="BZ15" s="15" t="n">
        <f aca="false">IFERROR(LARGE($AH$6:$AK$25,14),0)</f>
        <v>0</v>
      </c>
      <c r="CA15" s="15" t="n">
        <f aca="false">CA14+BZ15</f>
        <v>0</v>
      </c>
      <c r="CB15" s="15" t="n">
        <f aca="false">IFERROR(LARGE($AM$6:$AP$25,14),0)</f>
        <v>0</v>
      </c>
      <c r="CC15" s="15" t="n">
        <f aca="false">CC14+CB15</f>
        <v>0</v>
      </c>
    </row>
    <row r="16" customFormat="false" ht="22.35" hidden="false" customHeight="false" outlineLevel="0" collapsed="false">
      <c r="B16" s="36" t="s">
        <v>190</v>
      </c>
      <c r="C16" s="37"/>
      <c r="D16" s="38"/>
      <c r="E16" s="24"/>
      <c r="F16" s="24"/>
      <c r="G16" s="24"/>
      <c r="H16" s="24"/>
      <c r="I16" s="39"/>
      <c r="J16" s="39"/>
      <c r="L16" s="26" t="s">
        <v>191</v>
      </c>
      <c r="M16" s="28" t="str">
        <f aca="false">IF($U$4=0,"","+1")</f>
        <v/>
      </c>
      <c r="N16" s="29" t="s">
        <v>294</v>
      </c>
      <c r="T16" s="15" t="s">
        <v>193</v>
      </c>
      <c r="U16" s="15" t="n">
        <f aca="false">MIN(300,INT((SUM(BO6,BO7,BO8,BO9,BO10))+0.5+0.000000001))</f>
        <v>0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IF(Y16=1,IF(ISNUMBER(E16),1,0),IF(AH16="",0,IF(IF($U$35=1,COUNTIF($AH$6:$AK$25,"&gt;"&amp;AH16),COUNTIF($AM$6:$AP$25,"&gt;"&amp;AH16))+COUNTIF($AH$6:$AK$15,AH16)+1&lt;=$U$45,1,0)))</f>
        <v>0</v>
      </c>
      <c r="AS16" s="15" t="n">
        <f aca="false">IF(Y16=1,IF(ISNUMBER(F16),1,0),IF(AI16="",0,IF(IF($U$35=1,COUNTIF($AH$6:$AK$25,"&gt;"&amp;AI16),COUNTIF($AM$6:$AP$25,"&gt;"&amp;AI16))+COUNTIF($AH$6:$AK$15,AI16)+COUNTIF($AH16:AH16,AI16)+1&lt;=$U$45,1,0)))</f>
        <v>0</v>
      </c>
      <c r="AT16" s="15" t="n">
        <f aca="false">IF(Y16=1,IF(ISNUMBER(G16),1,0),IF(AJ16="",0,IF(IF($U$35=1,COUNTIF($AH$6:$AK$25,"&gt;"&amp;AJ16),COUNTIF($AM$6:$AP$25,"&gt;"&amp;AJ16))+COUNTIF($AH$6:$AK$15,AJ16)+COUNTIF($AH16:AI16,AJ16)+1&lt;=$U$45,1,0)))</f>
        <v>0</v>
      </c>
      <c r="AU16" s="15" t="n">
        <f aca="false">IF(Y16=1,IF(ISNUMBER(H16),1,0),IF(AK16="",0,IF(IF($U$35=1,COUNTIF($AH$6:$AK$25,"&gt;"&amp;AK16),COUNTIF($AM$6:$AP$25,"&gt;"&amp;AK16))+COUNTIF($AH$6:$AK$15,AK16)+COUNTIF($AH16:AJ16,AK16)+1&lt;=$U$45,1,0)))</f>
        <v>0</v>
      </c>
      <c r="BZ16" s="15" t="n">
        <f aca="false">IFERROR(LARGE($AH$6:$AK$25,15),0)</f>
        <v>0</v>
      </c>
      <c r="CA16" s="15" t="n">
        <f aca="false">CA15+BZ16</f>
        <v>0</v>
      </c>
      <c r="CB16" s="15" t="n">
        <f aca="false">IFERROR(LARGE($AM$6:$AP$25,15),0)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194</v>
      </c>
      <c r="C17" s="37"/>
      <c r="D17" s="38"/>
      <c r="E17" s="24"/>
      <c r="F17" s="24"/>
      <c r="G17" s="24"/>
      <c r="H17" s="24"/>
      <c r="I17" s="39"/>
      <c r="J17" s="39"/>
      <c r="T17" s="15" t="s">
        <v>195</v>
      </c>
      <c r="U17" s="15" t="n">
        <f aca="false">SUM(BP6,BP7,BP8,BP9,BP10)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IF(Y17=1,IF(ISNUMBER(E17),1,0),IF(AH17="",0,IF(IF($U$35=1,COUNTIF($AH$6:$AK$25,"&gt;"&amp;AH17),COUNTIF($AM$6:$AP$25,"&gt;"&amp;AH17))+COUNTIF($AH$6:$AK$16,AH17)+1&lt;=$U$45,1,0)))</f>
        <v>0</v>
      </c>
      <c r="AS17" s="15" t="n">
        <f aca="false">IF(Y17=1,IF(ISNUMBER(F17),1,0),IF(AI17="",0,IF(IF($U$35=1,COUNTIF($AH$6:$AK$25,"&gt;"&amp;AI17),COUNTIF($AM$6:$AP$25,"&gt;"&amp;AI17))+COUNTIF($AH$6:$AK$16,AI17)+COUNTIF($AH17:AH17,AI17)+1&lt;=$U$45,1,0)))</f>
        <v>0</v>
      </c>
      <c r="AT17" s="15" t="n">
        <f aca="false">IF(Y17=1,IF(ISNUMBER(G17),1,0),IF(AJ17="",0,IF(IF($U$35=1,COUNTIF($AH$6:$AK$25,"&gt;"&amp;AJ17),COUNTIF($AM$6:$AP$25,"&gt;"&amp;AJ17))+COUNTIF($AH$6:$AK$16,AJ17)+COUNTIF($AH17:AI17,AJ17)+1&lt;=$U$45,1,0)))</f>
        <v>0</v>
      </c>
      <c r="AU17" s="15" t="n">
        <f aca="false">IF(Y17=1,IF(ISNUMBER(H17),1,0),IF(AK17="",0,IF(IF($U$35=1,COUNTIF($AH$6:$AK$25,"&gt;"&amp;AK17),COUNTIF($AM$6:$AP$25,"&gt;"&amp;AK17))+COUNTIF($AH$6:$AK$16,AK17)+COUNTIF($AH17:AJ17,AK17)+1&lt;=$U$45,1,0)))</f>
        <v>0</v>
      </c>
      <c r="BZ17" s="15" t="n">
        <f aca="false">IFERROR(LARGE($AH$6:$AK$25,16),0)</f>
        <v>0</v>
      </c>
      <c r="CA17" s="15" t="n">
        <f aca="false">CA16+BZ17</f>
        <v>0</v>
      </c>
      <c r="CB17" s="15" t="n">
        <f aca="false">IFERROR(LARGE($AM$6:$AP$25,16),0)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196</v>
      </c>
      <c r="C18" s="37"/>
      <c r="D18" s="38"/>
      <c r="E18" s="24"/>
      <c r="F18" s="24"/>
      <c r="G18" s="24"/>
      <c r="H18" s="24"/>
      <c r="I18" s="39"/>
      <c r="J18" s="39"/>
      <c r="L18" s="40" t="s">
        <v>197</v>
      </c>
      <c r="M18" s="41" t="s">
        <v>149</v>
      </c>
      <c r="N18" s="6" t="s">
        <v>198</v>
      </c>
      <c r="T18" s="15" t="s">
        <v>199</v>
      </c>
      <c r="U18" s="15" t="n">
        <f aca="false">BP6+BP7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IF(Y18=1,IF(ISNUMBER(E18),1,0),IF(AH18="",0,IF(IF($U$35=1,COUNTIF($AH$6:$AK$25,"&gt;"&amp;AH18),COUNTIF($AM$6:$AP$25,"&gt;"&amp;AH18))+COUNTIF($AH$6:$AK$17,AH18)+1&lt;=$U$45,1,0)))</f>
        <v>0</v>
      </c>
      <c r="AS18" s="15" t="n">
        <f aca="false">IF(Y18=1,IF(ISNUMBER(F18),1,0),IF(AI18="",0,IF(IF($U$35=1,COUNTIF($AH$6:$AK$25,"&gt;"&amp;AI18),COUNTIF($AM$6:$AP$25,"&gt;"&amp;AI18))+COUNTIF($AH$6:$AK$17,AI18)+COUNTIF($AH18:AH18,AI18)+1&lt;=$U$45,1,0)))</f>
        <v>0</v>
      </c>
      <c r="AT18" s="15" t="n">
        <f aca="false">IF(Y18=1,IF(ISNUMBER(G18),1,0),IF(AJ18="",0,IF(IF($U$35=1,COUNTIF($AH$6:$AK$25,"&gt;"&amp;AJ18),COUNTIF($AM$6:$AP$25,"&gt;"&amp;AJ18))+COUNTIF($AH$6:$AK$17,AJ18)+COUNTIF($AH18:AI18,AJ18)+1&lt;=$U$45,1,0)))</f>
        <v>0</v>
      </c>
      <c r="AU18" s="15" t="n">
        <f aca="false">IF(Y18=1,IF(ISNUMBER(H18),1,0),IF(AK18="",0,IF(IF($U$35=1,COUNTIF($AH$6:$AK$25,"&gt;"&amp;AK18),COUNTIF($AM$6:$AP$25,"&gt;"&amp;AK18))+COUNTIF($AH$6:$AK$17,AK18)+COUNTIF($AH18:AJ18,AK18)+1&lt;=$U$45,1,0)))</f>
        <v>0</v>
      </c>
      <c r="BZ18" s="15" t="n">
        <f aca="false">IFERROR(LARGE($AH$6:$AK$25,17),0)</f>
        <v>0</v>
      </c>
      <c r="CA18" s="15" t="n">
        <f aca="false">CA17+BZ18</f>
        <v>0</v>
      </c>
      <c r="CB18" s="15" t="n">
        <f aca="false">IFERROR(LARGE($AM$6:$AP$25,17),0)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200</v>
      </c>
      <c r="C19" s="37"/>
      <c r="D19" s="38"/>
      <c r="E19" s="24"/>
      <c r="F19" s="24"/>
      <c r="G19" s="24"/>
      <c r="H19" s="24"/>
      <c r="I19" s="39"/>
      <c r="J19" s="39"/>
      <c r="L19" s="42" t="s">
        <v>201</v>
      </c>
      <c r="M19" s="43" t="str">
        <f aca="false">IF($U$4=0,"",IF($U$47=1,"✓ erfüllt","✗ nicht erfüllt"))</f>
        <v/>
      </c>
      <c r="N19" s="36" t="str">
        <f aca="false">IF($U$4=0,"",$U$36&amp;" Punkte")</f>
        <v/>
      </c>
      <c r="T19" s="15" t="s">
        <v>202</v>
      </c>
      <c r="U19" s="15" t="n">
        <f aca="false">BQ6+BQ7+BQ8+BQ9+BQ10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IF(Y19=1,IF(ISNUMBER(E19),1,0),IF(AH19="",0,IF(IF($U$35=1,COUNTIF($AH$6:$AK$25,"&gt;"&amp;AH19),COUNTIF($AM$6:$AP$25,"&gt;"&amp;AH19))+COUNTIF($AH$6:$AK$18,AH19)+1&lt;=$U$45,1,0)))</f>
        <v>0</v>
      </c>
      <c r="AS19" s="15" t="n">
        <f aca="false">IF(Y19=1,IF(ISNUMBER(F19),1,0),IF(AI19="",0,IF(IF($U$35=1,COUNTIF($AH$6:$AK$25,"&gt;"&amp;AI19),COUNTIF($AM$6:$AP$25,"&gt;"&amp;AI19))+COUNTIF($AH$6:$AK$18,AI19)+COUNTIF($AH19:AH19,AI19)+1&lt;=$U$45,1,0)))</f>
        <v>0</v>
      </c>
      <c r="AT19" s="15" t="n">
        <f aca="false">IF(Y19=1,IF(ISNUMBER(G19),1,0),IF(AJ19="",0,IF(IF($U$35=1,COUNTIF($AH$6:$AK$25,"&gt;"&amp;AJ19),COUNTIF($AM$6:$AP$25,"&gt;"&amp;AJ19))+COUNTIF($AH$6:$AK$18,AJ19)+COUNTIF($AH19:AI19,AJ19)+1&lt;=$U$45,1,0)))</f>
        <v>0</v>
      </c>
      <c r="AU19" s="15" t="n">
        <f aca="false">IF(Y19=1,IF(ISNUMBER(H19),1,0),IF(AK19="",0,IF(IF($U$35=1,COUNTIF($AH$6:$AK$25,"&gt;"&amp;AK19),COUNTIF($AM$6:$AP$25,"&gt;"&amp;AK19))+COUNTIF($AH$6:$AK$18,AK19)+COUNTIF($AH19:AJ19,AK19)+1&lt;=$U$45,1,0)))</f>
        <v>0</v>
      </c>
      <c r="BZ19" s="15" t="n">
        <f aca="false">IFERROR(LARGE($AH$6:$AK$25,18),0)</f>
        <v>0</v>
      </c>
      <c r="CA19" s="15" t="n">
        <f aca="false">CA18+BZ19</f>
        <v>0</v>
      </c>
      <c r="CB19" s="15" t="n">
        <f aca="false">IFERROR(LARGE($AM$6:$AP$25,18),0)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203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"&amp;$U$39&amp;" Unterkurse (unter 5 Punkten)"</f>
        <v>Höchstens 8 Unterkurse (unter 5 Punkten)</v>
      </c>
      <c r="M20" s="43" t="str">
        <f aca="false">IF($U$4=0,"",IF($U$48=1,"✓ erfüllt","✗ nicht erfüllt"))</f>
        <v/>
      </c>
      <c r="N20" s="36" t="str">
        <f aca="false">IF($U$4=0,"",$U$38&amp;" Unterkurse")</f>
        <v/>
      </c>
      <c r="T20" s="15" t="s">
        <v>204</v>
      </c>
      <c r="U20" s="15" t="n">
        <f aca="false">BR6+BR7+BR8+BR9+BR10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IF(Y20=1,IF(ISNUMBER(E20),1,0),IF(AH20="",0,IF(IF($U$35=1,COUNTIF($AH$6:$AK$25,"&gt;"&amp;AH20),COUNTIF($AM$6:$AP$25,"&gt;"&amp;AH20))+COUNTIF($AH$6:$AK$19,AH20)+1&lt;=$U$45,1,0)))</f>
        <v>0</v>
      </c>
      <c r="AS20" s="15" t="n">
        <f aca="false">IF(Y20=1,IF(ISNUMBER(F20),1,0),IF(AI20="",0,IF(IF($U$35=1,COUNTIF($AH$6:$AK$25,"&gt;"&amp;AI20),COUNTIF($AM$6:$AP$25,"&gt;"&amp;AI20))+COUNTIF($AH$6:$AK$19,AI20)+COUNTIF($AH20:AH20,AI20)+1&lt;=$U$45,1,0)))</f>
        <v>0</v>
      </c>
      <c r="AT20" s="15" t="n">
        <f aca="false">IF(Y20=1,IF(ISNUMBER(G20),1,0),IF(AJ20="",0,IF(IF($U$35=1,COUNTIF($AH$6:$AK$25,"&gt;"&amp;AJ20),COUNTIF($AM$6:$AP$25,"&gt;"&amp;AJ20))+COUNTIF($AH$6:$AK$19,AJ20)+COUNTIF($AH20:AI20,AJ20)+1&lt;=$U$45,1,0)))</f>
        <v>0</v>
      </c>
      <c r="AU20" s="15" t="n">
        <f aca="false">IF(Y20=1,IF(ISNUMBER(H20),1,0),IF(AK20="",0,IF(IF($U$35=1,COUNTIF($AH$6:$AK$25,"&gt;"&amp;AK20),COUNTIF($AM$6:$AP$25,"&gt;"&amp;AK20))+COUNTIF($AH$6:$AK$19,AK20)+COUNTIF($AH20:AJ20,AK20)+1&lt;=$U$45,1,0)))</f>
        <v>0</v>
      </c>
      <c r="BZ20" s="15" t="n">
        <f aca="false">IFERROR(LARGE($AH$6:$AK$25,19),0)</f>
        <v>0</v>
      </c>
      <c r="CA20" s="15" t="n">
        <f aca="false">CA19+BZ20</f>
        <v>0</v>
      </c>
      <c r="CB20" s="15" t="n">
        <f aca="false">IFERROR(LARGE($AM$6:$AP$25,19),0)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205</v>
      </c>
      <c r="C21" s="37"/>
      <c r="D21" s="38"/>
      <c r="E21" s="24"/>
      <c r="F21" s="24"/>
      <c r="G21" s="24"/>
      <c r="H21" s="24"/>
      <c r="I21" s="39"/>
      <c r="J21" s="39"/>
      <c r="L21" s="42" t="s">
        <v>209</v>
      </c>
      <c r="M21" s="43" t="str">
        <f aca="false">IF($U$4=0,"",IF($U$53=1,"✓ erfüllt","✗ nicht erfüllt"))</f>
        <v/>
      </c>
      <c r="N21" s="36" t="str">
        <f aca="false">IF($U$4=0,"",$U$12&amp;" mit 0 Punkten")</f>
        <v/>
      </c>
      <c r="T21" s="15" t="s">
        <v>207</v>
      </c>
      <c r="U21" s="15" t="n">
        <f aca="false">MIN(300,INT((SUM(BU6,BU7,BU8,BU9,BU10))+0.5+0.000000001))</f>
        <v>140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IF(Y21=1,IF(ISNUMBER(E21),1,0),IF(AH21="",0,IF(IF($U$35=1,COUNTIF($AH$6:$AK$25,"&gt;"&amp;AH21),COUNTIF($AM$6:$AP$25,"&gt;"&amp;AH21))+COUNTIF($AH$6:$AK$20,AH21)+1&lt;=$U$45,1,0)))</f>
        <v>0</v>
      </c>
      <c r="AS21" s="15" t="n">
        <f aca="false">IF(Y21=1,IF(ISNUMBER(F21),1,0),IF(AI21="",0,IF(IF($U$35=1,COUNTIF($AH$6:$AK$25,"&gt;"&amp;AI21),COUNTIF($AM$6:$AP$25,"&gt;"&amp;AI21))+COUNTIF($AH$6:$AK$20,AI21)+COUNTIF($AH21:AH21,AI21)+1&lt;=$U$45,1,0)))</f>
        <v>0</v>
      </c>
      <c r="AT21" s="15" t="n">
        <f aca="false">IF(Y21=1,IF(ISNUMBER(G21),1,0),IF(AJ21="",0,IF(IF($U$35=1,COUNTIF($AH$6:$AK$25,"&gt;"&amp;AJ21),COUNTIF($AM$6:$AP$25,"&gt;"&amp;AJ21))+COUNTIF($AH$6:$AK$20,AJ21)+COUNTIF($AH21:AI21,AJ21)+1&lt;=$U$45,1,0)))</f>
        <v>0</v>
      </c>
      <c r="AU21" s="15" t="n">
        <f aca="false">IF(Y21=1,IF(ISNUMBER(H21),1,0),IF(AK21="",0,IF(IF($U$35=1,COUNTIF($AH$6:$AK$25,"&gt;"&amp;AK21),COUNTIF($AM$6:$AP$25,"&gt;"&amp;AK21))+COUNTIF($AH$6:$AK$20,AK21)+COUNTIF($AH21:AJ21,AK21)+1&lt;=$U$45,1,0)))</f>
        <v>0</v>
      </c>
      <c r="BZ21" s="15" t="n">
        <f aca="false">IFERROR(LARGE($AH$6:$AK$25,20),0)</f>
        <v>0</v>
      </c>
      <c r="CA21" s="15" t="n">
        <f aca="false">CA20+BZ21</f>
        <v>0</v>
      </c>
      <c r="CB21" s="15" t="n">
        <f aca="false">IFERROR(LARGE($AM$6:$AP$25,20),0)</f>
        <v>0</v>
      </c>
      <c r="CC21" s="15" t="n">
        <f aca="false">CC20+CB21</f>
        <v>0</v>
      </c>
    </row>
    <row r="22" customFormat="false" ht="22.35" hidden="false" customHeight="false" outlineLevel="0" collapsed="false">
      <c r="B22" s="36" t="s">
        <v>208</v>
      </c>
      <c r="C22" s="37"/>
      <c r="D22" s="38"/>
      <c r="E22" s="24"/>
      <c r="F22" s="24"/>
      <c r="G22" s="24"/>
      <c r="H22" s="24"/>
      <c r="I22" s="39"/>
      <c r="J22" s="39"/>
      <c r="L22" s="42" t="s">
        <v>212</v>
      </c>
      <c r="M22" s="43" t="str">
        <f aca="false">IF($U$4=0,"",IF($U$56=1,"✓ erfüllt","✗ nicht erfüllt"))</f>
        <v/>
      </c>
      <c r="N22" s="36"/>
      <c r="T22" s="15" t="s">
        <v>210</v>
      </c>
      <c r="U22" s="15" t="n">
        <f aca="false">SUM(BV6,BV7,BV8,BV9,BV10)</f>
        <v>5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IF(Y22=1,IF(ISNUMBER(E22),1,0),IF(AH22="",0,IF(IF($U$35=1,COUNTIF($AH$6:$AK$25,"&gt;"&amp;AH22),COUNTIF($AM$6:$AP$25,"&gt;"&amp;AH22))+COUNTIF($AH$6:$AK$21,AH22)+1&lt;=$U$45,1,0)))</f>
        <v>0</v>
      </c>
      <c r="AS22" s="15" t="n">
        <f aca="false">IF(Y22=1,IF(ISNUMBER(F22),1,0),IF(AI22="",0,IF(IF($U$35=1,COUNTIF($AH$6:$AK$25,"&gt;"&amp;AI22),COUNTIF($AM$6:$AP$25,"&gt;"&amp;AI22))+COUNTIF($AH$6:$AK$21,AI22)+COUNTIF($AH22:AH22,AI22)+1&lt;=$U$45,1,0)))</f>
        <v>0</v>
      </c>
      <c r="AT22" s="15" t="n">
        <f aca="false">IF(Y22=1,IF(ISNUMBER(G22),1,0),IF(AJ22="",0,IF(IF($U$35=1,COUNTIF($AH$6:$AK$25,"&gt;"&amp;AJ22),COUNTIF($AM$6:$AP$25,"&gt;"&amp;AJ22))+COUNTIF($AH$6:$AK$21,AJ22)+COUNTIF($AH22:AI22,AJ22)+1&lt;=$U$45,1,0)))</f>
        <v>0</v>
      </c>
      <c r="AU22" s="15" t="n">
        <f aca="false">IF(Y22=1,IF(ISNUMBER(H22),1,0),IF(AK22="",0,IF(IF($U$35=1,COUNTIF($AH$6:$AK$25,"&gt;"&amp;AK22),COUNTIF($AM$6:$AP$25,"&gt;"&amp;AK22))+COUNTIF($AH$6:$AK$21,AK22)+COUNTIF($AH22:AJ22,AK22)+1&lt;=$U$45,1,0)))</f>
        <v>0</v>
      </c>
      <c r="BZ22" s="15" t="n">
        <f aca="false">IFERROR(LARGE($AH$6:$AK$25,21),0)</f>
        <v>0</v>
      </c>
      <c r="CA22" s="15" t="n">
        <f aca="false">CA21+BZ22</f>
        <v>0</v>
      </c>
      <c r="CB22" s="15" t="n">
        <f aca="false">IFERROR(LARGE($AM$6:$AP$25,21),0)</f>
        <v>0</v>
      </c>
      <c r="CC22" s="15" t="n">
        <f aca="false">CC21+CB22</f>
        <v>0</v>
      </c>
      <c r="CE22" s="15" t="s">
        <v>79</v>
      </c>
      <c r="CF22" s="15" t="s">
        <v>80</v>
      </c>
      <c r="CG22" s="15" t="s">
        <v>81</v>
      </c>
      <c r="CH22" s="15" t="s">
        <v>82</v>
      </c>
      <c r="CI22" s="15" t="s">
        <v>83</v>
      </c>
      <c r="CJ22" s="15" t="s">
        <v>84</v>
      </c>
      <c r="CK22" s="15" t="s">
        <v>85</v>
      </c>
      <c r="CL22" s="15" t="s">
        <v>86</v>
      </c>
      <c r="CM22" s="15" t="s">
        <v>87</v>
      </c>
      <c r="CN22" s="15" t="s">
        <v>88</v>
      </c>
      <c r="CO22" s="15" t="s">
        <v>89</v>
      </c>
      <c r="CP22" s="15" t="s">
        <v>90</v>
      </c>
      <c r="CQ22" s="15" t="s">
        <v>91</v>
      </c>
      <c r="CR22" s="15" t="s">
        <v>92</v>
      </c>
      <c r="CS22" s="15" t="s">
        <v>93</v>
      </c>
      <c r="CT22" s="15" t="s">
        <v>94</v>
      </c>
      <c r="CU22" s="15" t="s">
        <v>95</v>
      </c>
      <c r="CV22" s="15" t="s">
        <v>96</v>
      </c>
      <c r="CW22" s="15" t="s">
        <v>97</v>
      </c>
      <c r="CX22" s="15" t="s">
        <v>98</v>
      </c>
      <c r="CY22" s="15" t="s">
        <v>99</v>
      </c>
      <c r="CZ22" s="15" t="s">
        <v>100</v>
      </c>
      <c r="DA22" s="15" t="s">
        <v>101</v>
      </c>
      <c r="DB22" s="15" t="s">
        <v>102</v>
      </c>
      <c r="DC22" s="15" t="s">
        <v>103</v>
      </c>
      <c r="DD22" s="15" t="s">
        <v>104</v>
      </c>
      <c r="DE22" s="15" t="s">
        <v>105</v>
      </c>
      <c r="DF22" s="15" t="s">
        <v>106</v>
      </c>
      <c r="DG22" s="15" t="s">
        <v>107</v>
      </c>
      <c r="DH22" s="15" t="s">
        <v>108</v>
      </c>
    </row>
    <row r="23" customFormat="false" ht="15" hidden="false" customHeight="false" outlineLevel="0" collapsed="false">
      <c r="B23" s="36" t="s">
        <v>211</v>
      </c>
      <c r="C23" s="37"/>
      <c r="D23" s="38"/>
      <c r="E23" s="24"/>
      <c r="F23" s="24"/>
      <c r="G23" s="24"/>
      <c r="H23" s="24"/>
      <c r="I23" s="39"/>
      <c r="J23" s="39"/>
      <c r="L23" s="42" t="s">
        <v>215</v>
      </c>
      <c r="M23" s="43" t="str">
        <f aca="false">IF($U$4=0,"",IF($U$61=1,"✓ erfüllt","✗ nicht erfüllt"))</f>
        <v/>
      </c>
      <c r="N23" s="36" t="str">
        <f aca="false">IF($U$4=0,"",$U$59&amp;" Punkte")</f>
        <v/>
      </c>
      <c r="T23" s="15" t="s">
        <v>213</v>
      </c>
      <c r="U23" s="15" t="n">
        <f aca="false">BV6+BV7</f>
        <v>2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IF(Y23=1,IF(ISNUMBER(E23),1,0),IF(AH23="",0,IF(IF($U$35=1,COUNTIF($AH$6:$AK$25,"&gt;"&amp;AH23),COUNTIF($AM$6:$AP$25,"&gt;"&amp;AH23))+COUNTIF($AH$6:$AK$22,AH23)+1&lt;=$U$45,1,0)))</f>
        <v>0</v>
      </c>
      <c r="AS23" s="15" t="n">
        <f aca="false">IF(Y23=1,IF(ISNUMBER(F23),1,0),IF(AI23="",0,IF(IF($U$35=1,COUNTIF($AH$6:$AK$25,"&gt;"&amp;AI23),COUNTIF($AM$6:$AP$25,"&gt;"&amp;AI23))+COUNTIF($AH$6:$AK$22,AI23)+COUNTIF($AH23:AH23,AI23)+1&lt;=$U$45,1,0)))</f>
        <v>0</v>
      </c>
      <c r="AT23" s="15" t="n">
        <f aca="false">IF(Y23=1,IF(ISNUMBER(G23),1,0),IF(AJ23="",0,IF(IF($U$35=1,COUNTIF($AH$6:$AK$25,"&gt;"&amp;AJ23),COUNTIF($AM$6:$AP$25,"&gt;"&amp;AJ23))+COUNTIF($AH$6:$AK$22,AJ23)+COUNTIF($AH23:AI23,AJ23)+1&lt;=$U$45,1,0)))</f>
        <v>0</v>
      </c>
      <c r="AU23" s="15" t="n">
        <f aca="false">IF(Y23=1,IF(ISNUMBER(H23),1,0),IF(AK23="",0,IF(IF($U$35=1,COUNTIF($AH$6:$AK$25,"&gt;"&amp;AK23),COUNTIF($AM$6:$AP$25,"&gt;"&amp;AK23))+COUNTIF($AH$6:$AK$22,AK23)+COUNTIF($AH23:AJ23,AK23)+1&lt;=$U$45,1,0)))</f>
        <v>0</v>
      </c>
      <c r="BZ23" s="15" t="n">
        <f aca="false">IFERROR(LARGE($AH$6:$AK$25,22),0)</f>
        <v>0</v>
      </c>
      <c r="CA23" s="15" t="n">
        <f aca="false">CA22+BZ23</f>
        <v>0</v>
      </c>
      <c r="CB23" s="15" t="n">
        <f aca="false">IFERROR(LARGE($AM$6:$AP$25,22),0)</f>
        <v>0</v>
      </c>
      <c r="CC23" s="15" t="n">
        <f aca="false">CC22+CB23</f>
        <v>0</v>
      </c>
      <c r="CE23" s="15" t="n">
        <f aca="false">40</f>
        <v>40</v>
      </c>
      <c r="CF23" s="15" t="n">
        <f aca="false">CE23-$V$5-$V$6-0</f>
        <v>20</v>
      </c>
      <c r="CG23" s="15" t="n">
        <f aca="false">MAX(0,CF23)</f>
        <v>20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20</v>
      </c>
      <c r="CK23" s="15" t="n">
        <f aca="false">$V$5+CH23+CJ23</f>
        <v>40</v>
      </c>
      <c r="CL23" s="15" t="n">
        <f aca="false">1*BE6+1*BF6+1*BE7+1*BF7</f>
        <v>56</v>
      </c>
      <c r="CM23" s="15" t="n">
        <f aca="false">1*BG6+1*BH6+1*BG7+1*BH7+1*BG8+1*BH8+1*BG9+1*BH9+1*BG10+1*BH10+SUM($AE$12:$AE$25)</f>
        <v>20</v>
      </c>
      <c r="CN23" s="15" t="n">
        <f aca="false">IF(CH23=0,0,INDEX($CC$2:$CC$57,CH23))</f>
        <v>0</v>
      </c>
      <c r="CO23" s="15" t="n">
        <f aca="false">CL23+$V$11+CN23+CJ23*$U$2</f>
        <v>280</v>
      </c>
      <c r="CP23" s="15" t="n">
        <f aca="false">CM23+CH23+CJ23</f>
        <v>40</v>
      </c>
      <c r="CQ23" s="15" t="n">
        <f aca="false">MIN(600,INT((CO23)+0.5+0.000000001))</f>
        <v>280</v>
      </c>
      <c r="CR23" s="15" t="n">
        <f aca="false">$V$9+CT23</f>
        <v>0</v>
      </c>
      <c r="CS23" s="15" t="n">
        <f aca="false">8</f>
        <v>8</v>
      </c>
      <c r="CT23" s="15" t="n">
        <f aca="false">$V$10+MAX(0,CH23-$V$8)+CJ23*IF($U$2&lt;5,1,0)</f>
        <v>0</v>
      </c>
      <c r="CU23" s="15" t="n">
        <f aca="false">$V$11+CN23+CJ23*$U$2</f>
        <v>224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1</f>
        <v>1</v>
      </c>
      <c r="CY23" s="15" t="n">
        <f aca="false">1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1028060</v>
      </c>
    </row>
    <row r="24" customFormat="false" ht="22.35" hidden="false" customHeight="false" outlineLevel="0" collapsed="false">
      <c r="B24" s="36" t="s">
        <v>214</v>
      </c>
      <c r="C24" s="37"/>
      <c r="D24" s="38"/>
      <c r="E24" s="24"/>
      <c r="F24" s="24"/>
      <c r="G24" s="24"/>
      <c r="H24" s="24"/>
      <c r="I24" s="39"/>
      <c r="J24" s="39"/>
      <c r="L24" s="42" t="str">
        <f aca="false">"In mindestens "&amp;$U$26&amp;" Prüfungen mindestens 5 Punkte (einfach), davon eine im 1./2. Prüfungsfach"</f>
        <v>In mindestens 3 Prüfungen mindestens 5 Punkte (einfach), davon eine im 1./2. Prüfungsfach</v>
      </c>
      <c r="M24" s="43" t="str">
        <f aca="false">IF($U$4=0,"",IF($U$62=1,"✓ erfüllt","✗ nicht erfüllt"))</f>
        <v/>
      </c>
      <c r="N24" s="36" t="str">
        <f aca="false">IF($U$4=0,"",$U$60&amp;" Prüfungen")</f>
        <v/>
      </c>
      <c r="T24" s="15" t="s">
        <v>216</v>
      </c>
      <c r="U24" s="15" t="n">
        <f aca="false">BW6+BW7+BW8+BW9+BW10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IF(Y24=1,IF(ISNUMBER(E24),1,0),IF(AH24="",0,IF(IF($U$35=1,COUNTIF($AH$6:$AK$25,"&gt;"&amp;AH24),COUNTIF($AM$6:$AP$25,"&gt;"&amp;AH24))+COUNTIF($AH$6:$AK$23,AH24)+1&lt;=$U$45,1,0)))</f>
        <v>0</v>
      </c>
      <c r="AS24" s="15" t="n">
        <f aca="false">IF(Y24=1,IF(ISNUMBER(F24),1,0),IF(AI24="",0,IF(IF($U$35=1,COUNTIF($AH$6:$AK$25,"&gt;"&amp;AI24),COUNTIF($AM$6:$AP$25,"&gt;"&amp;AI24))+COUNTIF($AH$6:$AK$23,AI24)+COUNTIF($AH24:AH24,AI24)+1&lt;=$U$45,1,0)))</f>
        <v>0</v>
      </c>
      <c r="AT24" s="15" t="n">
        <f aca="false">IF(Y24=1,IF(ISNUMBER(G24),1,0),IF(AJ24="",0,IF(IF($U$35=1,COUNTIF($AH$6:$AK$25,"&gt;"&amp;AJ24),COUNTIF($AM$6:$AP$25,"&gt;"&amp;AJ24))+COUNTIF($AH$6:$AK$23,AJ24)+COUNTIF($AH24:AI24,AJ24)+1&lt;=$U$45,1,0)))</f>
        <v>0</v>
      </c>
      <c r="AU24" s="15" t="n">
        <f aca="false">IF(Y24=1,IF(ISNUMBER(H24),1,0),IF(AK24="",0,IF(IF($U$35=1,COUNTIF($AH$6:$AK$25,"&gt;"&amp;AK24),COUNTIF($AM$6:$AP$25,"&gt;"&amp;AK24))+COUNTIF($AH$6:$AK$23,AK24)+COUNTIF($AH24:AJ24,AK24)+1&lt;=$U$45,1,0)))</f>
        <v>0</v>
      </c>
      <c r="BZ24" s="15" t="n">
        <f aca="false">IFERROR(LARGE($AH$6:$AK$25,23),0)</f>
        <v>0</v>
      </c>
      <c r="CA24" s="15" t="n">
        <f aca="false">CA23+BZ24</f>
        <v>0</v>
      </c>
      <c r="CB24" s="15" t="n">
        <f aca="false">IFERROR(LARGE($AM$6:$AP$25,23),0)</f>
        <v>0</v>
      </c>
      <c r="CC24" s="15" t="n">
        <f aca="false">CC23+CB24</f>
        <v>0</v>
      </c>
    </row>
    <row r="25" customFormat="false" ht="15" hidden="false" customHeight="false" outlineLevel="0" collapsed="false">
      <c r="B25" s="36" t="s">
        <v>217</v>
      </c>
      <c r="C25" s="37"/>
      <c r="D25" s="38"/>
      <c r="E25" s="24"/>
      <c r="F25" s="24"/>
      <c r="G25" s="24"/>
      <c r="H25" s="24"/>
      <c r="I25" s="39"/>
      <c r="J25" s="39"/>
      <c r="L25" s="42" t="s">
        <v>221</v>
      </c>
      <c r="M25" s="43" t="str">
        <f aca="false">IF($U$4=0,"",IF($U$65=1,"✓ erfüllt","✗ nicht erfüllt"))</f>
        <v/>
      </c>
      <c r="N25" s="36" t="str">
        <f aca="false">IF($U$4=0,"",$U$64&amp;" Punkte")</f>
        <v/>
      </c>
      <c r="T25" s="15" t="s">
        <v>218</v>
      </c>
      <c r="U25" s="15" t="n">
        <f aca="false">BX6+BX7+BX8+BX9+BX10</f>
        <v>0</v>
      </c>
      <c r="X25" s="15" t="n">
        <f aca="false">IF(OR(LEN(TRIM(C25))&gt;0,COUNT(E25:H25)&gt;0),1,0)</f>
        <v>0</v>
      </c>
      <c r="Y25" s="15" t="n">
        <f aca="false">IF(LEN(TRIM(D25))&gt;0,1,0)</f>
        <v>0</v>
      </c>
      <c r="Z25" s="15" t="n">
        <f aca="false">Y25*SUM(E25:H25)</f>
        <v>0</v>
      </c>
      <c r="AA25" s="15" t="n">
        <f aca="false">Y25*COUNT(E25:H25)</f>
        <v>0</v>
      </c>
      <c r="AB25" s="15" t="n">
        <f aca="false">Y25*COUNTIF(E25:H25,"&lt;5")</f>
        <v>0</v>
      </c>
      <c r="AC25" s="15" t="n">
        <f aca="false">Y25*COUNTIF(E25:H25,0)</f>
        <v>0</v>
      </c>
      <c r="AD25" s="15" t="n">
        <f aca="false">Y25*(SUM(E25:H25)+X25*$U$2*(4-COUNT(E25:H25)))</f>
        <v>0</v>
      </c>
      <c r="AE25" s="15" t="n">
        <f aca="false">Y25*(COUNT(E25:H25)+X25*(4-COUNT(E25:H25)))</f>
        <v>0</v>
      </c>
      <c r="AF25" s="15" t="n">
        <f aca="false">Y25*(COUNTIF(E25:H25,"&lt;5")+X25*IF($U$2&lt;5,1,0)*(4-COUNT(E25:H25)))</f>
        <v>0</v>
      </c>
      <c r="AH25" s="15" t="str">
        <f aca="false">IF(Y25=1,"",IF(ISNUMBER(E25),IF(E25=0,"",E25),""))</f>
        <v/>
      </c>
      <c r="AI25" s="15" t="str">
        <f aca="false">IF(Y25=1,"",IF(ISNUMBER(F25),IF(F25=0,"",F25),""))</f>
        <v/>
      </c>
      <c r="AJ25" s="15" t="str">
        <f aca="false">IF(Y25=1,"",IF(ISNUMBER(G25),IF(G25=0,"",G25),""))</f>
        <v/>
      </c>
      <c r="AK25" s="15" t="str">
        <f aca="false">IF(Y25=1,"",IF(ISNUMBER(H25),IF(H25=0,"",H25),""))</f>
        <v/>
      </c>
      <c r="AM25" s="15" t="str">
        <f aca="false">IF(Y25=1,"",IF(ISNUMBER(E25),IF(E25=0,"",E25),IF(X25=1,$U$2,"")))</f>
        <v/>
      </c>
      <c r="AN25" s="15" t="str">
        <f aca="false">IF(Y25=1,"",IF(ISNUMBER(F25),IF(F25=0,"",F25),IF(X25=1,$U$2,"")))</f>
        <v/>
      </c>
      <c r="AO25" s="15" t="str">
        <f aca="false">IF(Y25=1,"",IF(ISNUMBER(G25),IF(G25=0,"",G25),IF(X25=1,$U$2,"")))</f>
        <v/>
      </c>
      <c r="AP25" s="15" t="str">
        <f aca="false">IF(Y25=1,"",IF(ISNUMBER(H25),IF(H25=0,"",H25),IF(X25=1,$U$2,"")))</f>
        <v/>
      </c>
      <c r="AR25" s="15" t="n">
        <f aca="false">IF(Y25=1,IF(ISNUMBER(E25),1,0),IF(AH25="",0,IF(IF($U$35=1,COUNTIF($AH$6:$AK$25,"&gt;"&amp;AH25),COUNTIF($AM$6:$AP$25,"&gt;"&amp;AH25))+COUNTIF($AH$6:$AK$24,AH25)+1&lt;=$U$45,1,0)))</f>
        <v>0</v>
      </c>
      <c r="AS25" s="15" t="n">
        <f aca="false">IF(Y25=1,IF(ISNUMBER(F25),1,0),IF(AI25="",0,IF(IF($U$35=1,COUNTIF($AH$6:$AK$25,"&gt;"&amp;AI25),COUNTIF($AM$6:$AP$25,"&gt;"&amp;AI25))+COUNTIF($AH$6:$AK$24,AI25)+COUNTIF($AH25:AH25,AI25)+1&lt;=$U$45,1,0)))</f>
        <v>0</v>
      </c>
      <c r="AT25" s="15" t="n">
        <f aca="false">IF(Y25=1,IF(ISNUMBER(G25),1,0),IF(AJ25="",0,IF(IF($U$35=1,COUNTIF($AH$6:$AK$25,"&gt;"&amp;AJ25),COUNTIF($AM$6:$AP$25,"&gt;"&amp;AJ25))+COUNTIF($AH$6:$AK$24,AJ25)+COUNTIF($AH25:AI25,AJ25)+1&lt;=$U$45,1,0)))</f>
        <v>0</v>
      </c>
      <c r="AU25" s="15" t="n">
        <f aca="false">IF(Y25=1,IF(ISNUMBER(H25),1,0),IF(AK25="",0,IF(IF($U$35=1,COUNTIF($AH$6:$AK$25,"&gt;"&amp;AK25),COUNTIF($AM$6:$AP$25,"&gt;"&amp;AK25))+COUNTIF($AH$6:$AK$24,AK25)+COUNTIF($AH25:AJ25,AK25)+1&lt;=$U$45,1,0)))</f>
        <v>0</v>
      </c>
      <c r="BZ25" s="15" t="n">
        <f aca="false">IFERROR(LARGE($AH$6:$AK$25,24),0)</f>
        <v>0</v>
      </c>
      <c r="CA25" s="15" t="n">
        <f aca="false">CA24+BZ25</f>
        <v>0</v>
      </c>
      <c r="CB25" s="15" t="n">
        <f aca="false">IFERROR(LARGE($AM$6:$AP$25,24),0)</f>
        <v>0</v>
      </c>
      <c r="CC25" s="15" t="n">
        <f aca="false">CC24+CB25</f>
        <v>0</v>
      </c>
    </row>
    <row r="26" customFormat="false" ht="15" hidden="false" customHeight="false" outlineLevel="0" collapsed="false">
      <c r="T26" s="15" t="s">
        <v>220</v>
      </c>
      <c r="U26" s="15" t="n">
        <f aca="false">3</f>
        <v>3</v>
      </c>
      <c r="BZ26" s="15" t="n">
        <f aca="false">IFERROR(LARGE($AH$6:$AK$25,25),0)</f>
        <v>0</v>
      </c>
      <c r="CA26" s="15" t="n">
        <f aca="false">CA25+BZ26</f>
        <v>0</v>
      </c>
      <c r="CB26" s="15" t="n">
        <f aca="false">IFERROR(LARGE($AM$6:$AP$25,25),0)</f>
        <v>0</v>
      </c>
      <c r="CC26" s="15" t="n">
        <f aca="false">CC25+CB26</f>
        <v>0</v>
      </c>
    </row>
    <row r="27" customFormat="false" ht="15" hidden="false" customHeight="false" outlineLevel="0" collapsed="false">
      <c r="L27" s="44" t="s">
        <v>226</v>
      </c>
      <c r="T27" s="15" t="s">
        <v>222</v>
      </c>
      <c r="U27" s="15" t="n">
        <f aca="false">IF(ISNUMBER($I$6),0,1)+IF(ISNUMBER($I$7),0,1)+IF(ISNUMBER($I$8),0,1)+IF(ISNUMBER($I$9),0,1)+IF(ISNUMBER($I$10),0,1)</f>
        <v>5</v>
      </c>
      <c r="BZ27" s="15" t="n">
        <f aca="false">IFERROR(LARGE($AH$6:$AK$25,26),0)</f>
        <v>0</v>
      </c>
      <c r="CA27" s="15" t="n">
        <f aca="false">CA26+BZ27</f>
        <v>0</v>
      </c>
      <c r="CB27" s="15" t="n">
        <f aca="false">IFERROR(LARGE($AM$6:$AP$25,26),0)</f>
        <v>0</v>
      </c>
      <c r="CC27" s="15" t="n">
        <f aca="false">CC26+CB27</f>
        <v>0</v>
      </c>
    </row>
    <row r="28" customFormat="false" ht="15" hidden="false" customHeight="false" outlineLevel="0" collapsed="false">
      <c r="B28" s="5" t="s">
        <v>445</v>
      </c>
      <c r="L28" s="8" t="s">
        <v>229</v>
      </c>
      <c r="T28" s="15" t="s">
        <v>224</v>
      </c>
      <c r="U28" s="15" t="n">
        <f aca="false">IF($U$16&gt;=100,1,0)</f>
        <v>0</v>
      </c>
      <c r="BZ28" s="15" t="n">
        <f aca="false">IFERROR(LARGE($AH$6:$AK$25,27),0)</f>
        <v>0</v>
      </c>
      <c r="CA28" s="15" t="n">
        <f aca="false">CA27+BZ28</f>
        <v>0</v>
      </c>
      <c r="CB28" s="15" t="n">
        <f aca="false">IFERROR(LARGE($AM$6:$AP$25,27),0)</f>
        <v>0</v>
      </c>
      <c r="CC28" s="15" t="n">
        <f aca="false">CC27+CB28</f>
        <v>0</v>
      </c>
    </row>
    <row r="29" customFormat="false" ht="15" hidden="false" customHeight="false" outlineLevel="0" collapsed="false">
      <c r="B29" s="12" t="s">
        <v>446</v>
      </c>
      <c r="L29" s="45" t="s">
        <v>232</v>
      </c>
      <c r="T29" s="15" t="s">
        <v>227</v>
      </c>
      <c r="U29" s="15" t="n">
        <f aca="false">IF(AND($U$17&gt;=$U$26,$U$18&gt;=1),1,0)</f>
        <v>0</v>
      </c>
      <c r="BZ29" s="15" t="n">
        <f aca="false">IFERROR(LARGE($AH$6:$AK$25,28),0)</f>
        <v>0</v>
      </c>
      <c r="CA29" s="15" t="n">
        <f aca="false">CA28+BZ29</f>
        <v>0</v>
      </c>
      <c r="CB29" s="15" t="n">
        <f aca="false">IFERROR(LARGE($AM$6:$AP$25,28),0)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">
        <v>447</v>
      </c>
      <c r="L30" s="46" t="s">
        <v>235</v>
      </c>
      <c r="T30" s="15" t="s">
        <v>233</v>
      </c>
      <c r="U30" s="15" t="n">
        <f aca="false">$U$28*$U$29</f>
        <v>0</v>
      </c>
      <c r="BZ30" s="15" t="n">
        <f aca="false">IFERROR(LARGE($AH$6:$AK$25,29),0)</f>
        <v>0</v>
      </c>
      <c r="CA30" s="15" t="n">
        <f aca="false">CA29+BZ30</f>
        <v>0</v>
      </c>
      <c r="CB30" s="15" t="n">
        <f aca="false">IFERROR(LARGE($AM$6:$AP$25,29),0)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448</v>
      </c>
      <c r="L31" s="47" t="s">
        <v>238</v>
      </c>
      <c r="T31" s="15" t="s">
        <v>236</v>
      </c>
      <c r="U31" s="15" t="n">
        <f aca="false">IF($U$21&gt;=100,1,0)</f>
        <v>1</v>
      </c>
      <c r="BZ31" s="15" t="n">
        <f aca="false">IFERROR(LARGE($AH$6:$AK$25,30),0)</f>
        <v>0</v>
      </c>
      <c r="CA31" s="15" t="n">
        <f aca="false">CA30+BZ31</f>
        <v>0</v>
      </c>
      <c r="CB31" s="15" t="n">
        <f aca="false">IFERROR(LARGE($AM$6:$AP$25,30),0)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449</v>
      </c>
      <c r="T32" s="15" t="s">
        <v>239</v>
      </c>
      <c r="U32" s="15" t="n">
        <f aca="false">IF(AND($U$22&gt;=$U$26,$U$23&gt;=1),1,0)</f>
        <v>1</v>
      </c>
      <c r="BZ32" s="15" t="n">
        <f aca="false">IFERROR(LARGE($AH$6:$AK$25,31),0)</f>
        <v>0</v>
      </c>
      <c r="CA32" s="15" t="n">
        <f aca="false">CA31+BZ32</f>
        <v>0</v>
      </c>
      <c r="CB32" s="15" t="n">
        <f aca="false">IFERROR(LARGE($AM$6:$AP$25,31),0)</f>
        <v>0</v>
      </c>
      <c r="CC32" s="15" t="n">
        <f aca="false">CC31+CB32</f>
        <v>0</v>
      </c>
    </row>
    <row r="33" customFormat="false" ht="15" hidden="false" customHeight="false" outlineLevel="0" collapsed="false">
      <c r="L33" s="48" t="s">
        <v>242</v>
      </c>
      <c r="T33" s="15" t="s">
        <v>243</v>
      </c>
      <c r="U33" s="15" t="n">
        <f aca="false">$U$31*$U$32</f>
        <v>1</v>
      </c>
      <c r="BZ33" s="15" t="n">
        <f aca="false">IFERROR(LARGE($AH$6:$AK$25,32),0)</f>
        <v>0</v>
      </c>
      <c r="CA33" s="15" t="n">
        <f aca="false">CA32+BZ33</f>
        <v>0</v>
      </c>
      <c r="CB33" s="15" t="n">
        <f aca="false">IFERROR(LARGE($AM$6:$AP$25,32),0)</f>
        <v>0</v>
      </c>
      <c r="CC33" s="15" t="n">
        <f aca="false">CC32+CB33</f>
        <v>0</v>
      </c>
    </row>
    <row r="34" customFormat="false" ht="15" hidden="false" customHeight="false" outlineLevel="0" collapsed="false">
      <c r="B34" s="48" t="s">
        <v>450</v>
      </c>
      <c r="L34" s="48" t="s">
        <v>245</v>
      </c>
      <c r="T34" s="15" t="s">
        <v>246</v>
      </c>
      <c r="U34" s="15" t="n">
        <f aca="false">INDEX($DG$3:$DG$3,$U$13)+$U$27</f>
        <v>45</v>
      </c>
      <c r="BZ34" s="15" t="n">
        <f aca="false">IFERROR(LARGE($AH$6:$AK$25,33),0)</f>
        <v>0</v>
      </c>
      <c r="CA34" s="15" t="n">
        <f aca="false">CA33+BZ34</f>
        <v>0</v>
      </c>
      <c r="CB34" s="15" t="n">
        <f aca="false">IFERROR(LARGE($AM$6:$AP$25,33),0)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9" t="s">
        <v>451</v>
      </c>
      <c r="T35" s="15" t="s">
        <v>247</v>
      </c>
      <c r="U35" s="15" t="n">
        <f aca="false">IF($U$34=0,1,0)</f>
        <v>0</v>
      </c>
      <c r="BZ35" s="15" t="n">
        <f aca="false">IFERROR(LARGE($AH$6:$AK$25,34),0)</f>
        <v>0</v>
      </c>
      <c r="CA35" s="15" t="n">
        <f aca="false">CA34+BZ35</f>
        <v>0</v>
      </c>
      <c r="CB35" s="15" t="n">
        <f aca="false">IFERROR(LARGE($AM$6:$AP$25,34),0)</f>
        <v>0</v>
      </c>
      <c r="CC35" s="15" t="n">
        <f aca="false">CC34+CB35</f>
        <v>0</v>
      </c>
    </row>
    <row r="36" customFormat="false" ht="15" hidden="false" customHeight="false" outlineLevel="0" collapsed="false">
      <c r="T36" s="15" t="s">
        <v>249</v>
      </c>
      <c r="U36" s="15" t="n">
        <f aca="false">IF($U$35=1,INDEX($CQ$3:$CQ$3,$U$13),INDEX($CQ$23:$CQ$23,$U$14))</f>
        <v>280</v>
      </c>
      <c r="BZ36" s="15" t="n">
        <f aca="false">IFERROR(LARGE($AH$6:$AK$25,35),0)</f>
        <v>0</v>
      </c>
      <c r="CA36" s="15" t="n">
        <f aca="false">CA35+BZ36</f>
        <v>0</v>
      </c>
      <c r="CB36" s="15" t="n">
        <f aca="false">IFERROR(LARGE($AM$6:$AP$25,35),0)</f>
        <v>0</v>
      </c>
      <c r="CC36" s="15" t="n">
        <f aca="false">CC35+CB36</f>
        <v>0</v>
      </c>
    </row>
    <row r="37" customFormat="false" ht="15" hidden="false" customHeight="false" outlineLevel="0" collapsed="false">
      <c r="B37" s="50" t="s">
        <v>452</v>
      </c>
      <c r="T37" s="15" t="s">
        <v>251</v>
      </c>
      <c r="U37" s="15" t="n">
        <f aca="false">IF($U$35=1,INDEX($CK$3:$CK$3,$U$13),INDEX($CK$23:$CK$23,$U$14))</f>
        <v>40</v>
      </c>
      <c r="BZ37" s="15" t="n">
        <f aca="false">IFERROR(LARGE($AH$6:$AK$25,36),0)</f>
        <v>0</v>
      </c>
      <c r="CA37" s="15" t="n">
        <f aca="false">CA36+BZ37</f>
        <v>0</v>
      </c>
      <c r="CB37" s="15" t="n">
        <f aca="false">IFERROR(LARGE($AM$6:$AP$25,36),0)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1" t="s">
        <v>250</v>
      </c>
      <c r="T38" s="15" t="s">
        <v>252</v>
      </c>
      <c r="U38" s="15" t="n">
        <f aca="false">IF($U$35=1,INDEX($CR$3:$CR$3,$U$13),INDEX($CR$23:$CR$23,$U$14))</f>
        <v>0</v>
      </c>
      <c r="BZ38" s="15" t="n">
        <f aca="false">IFERROR(LARGE($AH$6:$AK$25,37),0)</f>
        <v>0</v>
      </c>
      <c r="CA38" s="15" t="n">
        <f aca="false">CA37+BZ38</f>
        <v>0</v>
      </c>
      <c r="CB38" s="15" t="n">
        <f aca="false">IFERROR(LARGE($AM$6:$AP$25,37),0)</f>
        <v>0</v>
      </c>
      <c r="CC38" s="15" t="n">
        <f aca="false">CC37+CB38</f>
        <v>0</v>
      </c>
    </row>
    <row r="39" customFormat="false" ht="15" hidden="false" customHeight="false" outlineLevel="0" collapsed="false">
      <c r="T39" s="15" t="s">
        <v>253</v>
      </c>
      <c r="U39" s="15" t="n">
        <f aca="false">IF($U$35=1,INDEX($CS$3:$CS$3,$U$13),INDEX($CS$23:$CS$23,$U$14))</f>
        <v>8</v>
      </c>
      <c r="BZ39" s="15" t="n">
        <f aca="false">IFERROR(LARGE($AH$6:$AK$25,38),0)</f>
        <v>0</v>
      </c>
      <c r="CA39" s="15" t="n">
        <f aca="false">CA38+BZ39</f>
        <v>0</v>
      </c>
      <c r="CB39" s="15" t="n">
        <f aca="false">IFERROR(LARGE($AM$6:$AP$25,38),0)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254</v>
      </c>
      <c r="U40" s="15" t="n">
        <f aca="false">IF($U$35=1,INDEX($CT$3:$CT$3,$U$13),INDEX($CT$23:$CT$23,$U$14))</f>
        <v>0</v>
      </c>
      <c r="BZ40" s="15" t="n">
        <f aca="false">IFERROR(LARGE($AH$6:$AK$25,39),0)</f>
        <v>0</v>
      </c>
      <c r="CA40" s="15" t="n">
        <f aca="false">CA39+BZ40</f>
        <v>0</v>
      </c>
      <c r="CB40" s="15" t="n">
        <f aca="false">IFERROR(LARGE($AM$6:$AP$25,39),0)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255</v>
      </c>
      <c r="U41" s="15" t="n">
        <f aca="false">IF($U$35=1,INDEX($CL$3:$CL$3,$U$13),INDEX($CL$23:$CL$23,$U$14))</f>
        <v>56</v>
      </c>
      <c r="BZ41" s="15" t="n">
        <f aca="false">IFERROR(LARGE($AH$6:$AK$25,40),0)</f>
        <v>0</v>
      </c>
      <c r="CA41" s="15" t="n">
        <f aca="false">CA40+BZ41</f>
        <v>0</v>
      </c>
      <c r="CB41" s="15" t="n">
        <f aca="false">IFERROR(LARGE($AM$6:$AP$25,40),0)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256</v>
      </c>
      <c r="U42" s="15" t="n">
        <f aca="false">IF($U$35=1,INDEX($CU$3:$CU$3,$U$13),INDEX($CU$23:$CU$23,$U$14))</f>
        <v>224</v>
      </c>
      <c r="BZ42" s="15" t="n">
        <f aca="false">IFERROR(LARGE($AH$6:$AK$25,41),0)</f>
        <v>0</v>
      </c>
      <c r="CA42" s="15" t="n">
        <f aca="false">CA41+BZ42</f>
        <v>0</v>
      </c>
      <c r="CB42" s="15" t="n">
        <f aca="false">IFERROR(LARGE($AM$6:$AP$25,41),0)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257</v>
      </c>
      <c r="U43" s="15" t="n">
        <f aca="false">IF($U$35=1,INDEX($CP$3:$CP$3,$U$13),INDEX($CP$23:$CP$23,$U$14))</f>
        <v>40</v>
      </c>
      <c r="BZ43" s="15" t="n">
        <f aca="false">IFERROR(LARGE($AH$6:$AK$25,42),0)</f>
        <v>0</v>
      </c>
      <c r="CA43" s="15" t="n">
        <f aca="false">CA42+BZ43</f>
        <v>0</v>
      </c>
      <c r="CB43" s="15" t="n">
        <f aca="false">IFERROR(LARGE($AM$6:$AP$25,42),0)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258</v>
      </c>
      <c r="U44" s="15" t="n">
        <f aca="false">IF($U$35=1,INDEX($CO$3:$CO$3,$U$13),INDEX($CO$23:$CO$23,$U$14))</f>
        <v>280</v>
      </c>
      <c r="BZ44" s="15" t="n">
        <f aca="false">IFERROR(LARGE($AH$6:$AK$25,43),0)</f>
        <v>0</v>
      </c>
      <c r="CA44" s="15" t="n">
        <f aca="false">CA43+BZ44</f>
        <v>0</v>
      </c>
      <c r="CB44" s="15" t="n">
        <f aca="false">IFERROR(LARGE($AM$6:$AP$25,43),0)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259</v>
      </c>
      <c r="U45" s="15" t="n">
        <f aca="false">IF($U$35=1,INDEX($CH$3:$CH$3,$U$13),INDEX($CH$23:$CH$23,$U$14))</f>
        <v>0</v>
      </c>
      <c r="BZ45" s="15" t="n">
        <f aca="false">IFERROR(LARGE($AH$6:$AK$25,44),0)</f>
        <v>0</v>
      </c>
      <c r="CA45" s="15" t="n">
        <f aca="false">CA44+BZ45</f>
        <v>0</v>
      </c>
      <c r="CB45" s="15" t="n">
        <f aca="false">IFERROR(LARGE($AM$6:$AP$25,44),0)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260</v>
      </c>
      <c r="U46" s="15" t="n">
        <f aca="false">IF($U$35=1,INDEX($DF$3:$DF$3,$U$13),INDEX($DF$23:$DF$23,$U$14))</f>
        <v>1</v>
      </c>
      <c r="BZ46" s="15" t="n">
        <f aca="false">IFERROR(LARGE($AH$6:$AK$25,45),0)</f>
        <v>0</v>
      </c>
      <c r="CA46" s="15" t="n">
        <f aca="false">CA45+BZ46</f>
        <v>0</v>
      </c>
      <c r="CB46" s="15" t="n">
        <f aca="false">IFERROR(LARGE($AM$6:$AP$25,45),0)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261</v>
      </c>
      <c r="U47" s="15" t="n">
        <f aca="false">IF($U$35=1,INDEX($CV$3:$CV$3,$U$13),INDEX($CV$23:$CV$23,$U$14))</f>
        <v>1</v>
      </c>
      <c r="BZ47" s="15" t="n">
        <f aca="false">IFERROR(LARGE($AH$6:$AK$25,46),0)</f>
        <v>0</v>
      </c>
      <c r="CA47" s="15" t="n">
        <f aca="false">CA46+BZ47</f>
        <v>0</v>
      </c>
      <c r="CB47" s="15" t="n">
        <f aca="false">IFERROR(LARGE($AM$6:$AP$25,46),0)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262</v>
      </c>
      <c r="U48" s="15" t="n">
        <f aca="false">IF($U$35=1,INDEX($CW$3:$CW$3,$U$13),INDEX($CW$23:$CW$23,$U$14))</f>
        <v>1</v>
      </c>
      <c r="BZ48" s="15" t="n">
        <f aca="false">IFERROR(LARGE($AH$6:$AK$25,47),0)</f>
        <v>0</v>
      </c>
      <c r="CA48" s="15" t="n">
        <f aca="false">CA47+BZ48</f>
        <v>0</v>
      </c>
      <c r="CB48" s="15" t="n">
        <f aca="false">IFERROR(LARGE($AM$6:$AP$25,47),0)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263</v>
      </c>
      <c r="U49" s="15" t="n">
        <f aca="false">IF($U$35=1,INDEX($CX$3:$CX$3,$U$13),INDEX($CX$23:$CX$23,$U$14))</f>
        <v>1</v>
      </c>
      <c r="BZ49" s="15" t="n">
        <f aca="false">IFERROR(LARGE($AH$6:$AK$25,48),0)</f>
        <v>0</v>
      </c>
      <c r="CA49" s="15" t="n">
        <f aca="false">CA48+BZ49</f>
        <v>0</v>
      </c>
      <c r="CB49" s="15" t="n">
        <f aca="false">IFERROR(LARGE($AM$6:$AP$25,48),0)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264</v>
      </c>
      <c r="U50" s="15" t="n">
        <f aca="false">IF($U$35=1,INDEX($CY$3:$CY$3,$U$13),INDEX($CY$23:$CY$23,$U$14))</f>
        <v>1</v>
      </c>
      <c r="BZ50" s="15" t="n">
        <f aca="false">IFERROR(LARGE($AH$6:$AK$25,49),0)</f>
        <v>0</v>
      </c>
      <c r="CA50" s="15" t="n">
        <f aca="false">CA49+BZ50</f>
        <v>0</v>
      </c>
      <c r="CB50" s="15" t="n">
        <f aca="false">IFERROR(LARGE($AM$6:$AP$25,49),0)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265</v>
      </c>
      <c r="U51" s="15" t="n">
        <f aca="false">IF($U$35=1,INDEX($CZ$3:$CZ$3,$U$13),INDEX($CZ$23:$CZ$23,$U$14))</f>
        <v>1</v>
      </c>
      <c r="BZ51" s="15" t="n">
        <f aca="false">IFERROR(LARGE($AH$6:$AK$25,50),0)</f>
        <v>0</v>
      </c>
      <c r="CA51" s="15" t="n">
        <f aca="false">CA50+BZ51</f>
        <v>0</v>
      </c>
      <c r="CB51" s="15" t="n">
        <f aca="false">IFERROR(LARGE($AM$6:$AP$25,50),0)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266</v>
      </c>
      <c r="U52" s="15" t="n">
        <f aca="false">IF($U$35=1,INDEX($DA$3:$DA$3,$U$13),INDEX($DA$23:$DA$23,$U$14))</f>
        <v>1</v>
      </c>
      <c r="BZ52" s="15" t="n">
        <f aca="false">IFERROR(LARGE($AH$6:$AK$25,51),0)</f>
        <v>0</v>
      </c>
      <c r="CA52" s="15" t="n">
        <f aca="false">CA51+BZ52</f>
        <v>0</v>
      </c>
      <c r="CB52" s="15" t="n">
        <f aca="false">IFERROR(LARGE($AM$6:$AP$25,51),0)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267</v>
      </c>
      <c r="U53" s="15" t="n">
        <f aca="false">IF($U$35=1,INDEX($DB$3:$DB$3,$U$13),INDEX($DB$23:$DB$23,$U$14))</f>
        <v>1</v>
      </c>
      <c r="BZ53" s="15" t="n">
        <f aca="false">IFERROR(LARGE($AH$6:$AK$25,52),0)</f>
        <v>0</v>
      </c>
      <c r="CA53" s="15" t="n">
        <f aca="false">CA52+BZ53</f>
        <v>0</v>
      </c>
      <c r="CB53" s="15" t="n">
        <f aca="false">IFERROR(LARGE($AM$6:$AP$25,52),0)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268</v>
      </c>
      <c r="U54" s="15" t="n">
        <f aca="false">IF($U$35=1,INDEX($DC$3:$DC$3,$U$13),INDEX($DC$23:$DC$23,$U$14))</f>
        <v>1</v>
      </c>
      <c r="BZ54" s="15" t="n">
        <f aca="false">IFERROR(LARGE($AH$6:$AK$25,53),0)</f>
        <v>0</v>
      </c>
      <c r="CA54" s="15" t="n">
        <f aca="false">CA53+BZ54</f>
        <v>0</v>
      </c>
      <c r="CB54" s="15" t="n">
        <f aca="false">IFERROR(LARGE($AM$6:$AP$25,53),0)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269</v>
      </c>
      <c r="U55" s="15" t="n">
        <f aca="false">IF($U$35=1,INDEX($DD$3:$DD$3,$U$13),INDEX($DD$23:$DD$23,$U$14))</f>
        <v>1</v>
      </c>
      <c r="BZ55" s="15" t="n">
        <f aca="false">IFERROR(LARGE($AH$6:$AK$25,54),0)</f>
        <v>0</v>
      </c>
      <c r="CA55" s="15" t="n">
        <f aca="false">CA54+BZ55</f>
        <v>0</v>
      </c>
      <c r="CB55" s="15" t="n">
        <f aca="false">IFERROR(LARGE($AM$6:$AP$25,54),0)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270</v>
      </c>
      <c r="U56" s="15" t="n">
        <f aca="false">IF($U$35=1,INDEX($DE$3:$DE$3,$U$13),INDEX($DE$23:$DE$23,$U$14))</f>
        <v>1</v>
      </c>
      <c r="BZ56" s="15" t="n">
        <f aca="false">IFERROR(LARGE($AH$6:$AK$25,55),0)</f>
        <v>0</v>
      </c>
      <c r="CA56" s="15" t="n">
        <f aca="false">CA55+BZ56</f>
        <v>0</v>
      </c>
      <c r="CB56" s="15" t="n">
        <f aca="false">IFERROR(LARGE($AM$6:$AP$25,55),0)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271</v>
      </c>
      <c r="U57" s="15" t="n">
        <f aca="false">IF($U$35=1,$U$13,$U$14)</f>
        <v>1</v>
      </c>
      <c r="BZ57" s="15" t="n">
        <f aca="false">IFERROR(LARGE($AH$6:$AK$25,56),0)</f>
        <v>0</v>
      </c>
      <c r="CA57" s="15" t="n">
        <f aca="false">CA56+BZ57</f>
        <v>0</v>
      </c>
      <c r="CB57" s="15" t="n">
        <f aca="false">IFERROR(LARGE($AM$6:$AP$25,56),0)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272</v>
      </c>
      <c r="U58" s="15" t="n">
        <f aca="false">IF($U$35=1,$U$9,$V$9)</f>
        <v>0</v>
      </c>
    </row>
    <row r="59" customFormat="false" ht="15" hidden="false" customHeight="false" outlineLevel="0" collapsed="false">
      <c r="T59" s="15" t="s">
        <v>273</v>
      </c>
      <c r="U59" s="15" t="n">
        <f aca="false">IF($U$35=1,$U$16,$U$21)</f>
        <v>140</v>
      </c>
    </row>
    <row r="60" customFormat="false" ht="15" hidden="false" customHeight="false" outlineLevel="0" collapsed="false">
      <c r="T60" s="15" t="s">
        <v>274</v>
      </c>
      <c r="U60" s="15" t="n">
        <f aca="false">IF($U$35=1,$U$17,$U$22)</f>
        <v>5</v>
      </c>
    </row>
    <row r="61" customFormat="false" ht="15" hidden="false" customHeight="false" outlineLevel="0" collapsed="false">
      <c r="T61" s="15" t="s">
        <v>275</v>
      </c>
      <c r="U61" s="15" t="n">
        <f aca="false">IF($U$35=1,$U$28,$U$31)</f>
        <v>1</v>
      </c>
    </row>
    <row r="62" customFormat="false" ht="15" hidden="false" customHeight="false" outlineLevel="0" collapsed="false">
      <c r="T62" s="15" t="s">
        <v>276</v>
      </c>
      <c r="U62" s="15" t="n">
        <f aca="false">IF($U$35=1,$U$29,$U$32)</f>
        <v>1</v>
      </c>
    </row>
    <row r="63" customFormat="false" ht="15" hidden="false" customHeight="false" outlineLevel="0" collapsed="false">
      <c r="T63" s="15" t="s">
        <v>278</v>
      </c>
      <c r="U63" s="15" t="n">
        <f aca="false">IF($U$35=1,$U$30,$U$33)</f>
        <v>1</v>
      </c>
    </row>
    <row r="64" customFormat="false" ht="15" hidden="false" customHeight="false" outlineLevel="0" collapsed="false">
      <c r="T64" s="15" t="s">
        <v>188</v>
      </c>
      <c r="U64" s="15" t="n">
        <f aca="false">$U$36+$U$59</f>
        <v>420</v>
      </c>
    </row>
    <row r="65" customFormat="false" ht="15" hidden="false" customHeight="false" outlineLevel="0" collapsed="false">
      <c r="T65" s="15" t="s">
        <v>279</v>
      </c>
      <c r="U65" s="15" t="n">
        <f aca="false">IF($U$64&gt;=300,1,0)</f>
        <v>1</v>
      </c>
    </row>
    <row r="66" customFormat="false" ht="15" hidden="false" customHeight="false" outlineLevel="0" collapsed="false">
      <c r="T66" s="15" t="s">
        <v>280</v>
      </c>
      <c r="U66" s="15" t="n">
        <f aca="false">IF($U$46*$U$63*$U$65=1,1,0)</f>
        <v>1</v>
      </c>
    </row>
    <row r="67" customFormat="false" ht="15" hidden="false" customHeight="false" outlineLevel="0" collapsed="false">
      <c r="T67" s="15" t="s">
        <v>281</v>
      </c>
      <c r="U67" s="15" t="n">
        <f aca="false">IF($U$64&lt;300,"",MAX(10,MIN(40,INT((1020-$U$64)/18))))</f>
        <v>33</v>
      </c>
    </row>
    <row r="68" customFormat="false" ht="15" hidden="false" customHeight="false" outlineLevel="0" collapsed="false">
      <c r="T68" s="15" t="s">
        <v>282</v>
      </c>
      <c r="U68" s="15" t="n">
        <f aca="false">IF($U$67="",MAX(0,300-$U$64),IF($U$67&gt;10,1021-18*$U$67-$U$64,""))</f>
        <v>7</v>
      </c>
    </row>
    <row r="69" customFormat="false" ht="15" hidden="false" customHeight="false" outlineLevel="0" collapsed="false">
      <c r="T69" s="15" t="s">
        <v>283</v>
      </c>
      <c r="U69" s="15" t="n">
        <f aca="false">IF($U$67="","",$U$64-IF($U$67&gt;=40,300,1020-18*($U$67+1)+1))</f>
        <v>11</v>
      </c>
    </row>
  </sheetData>
  <sheetProtection sheet="true" formatCells="false" formatColumns="false" formatRows="false"/>
  <mergeCells count="1">
    <mergeCell ref="M6:N6"/>
  </mergeCells>
  <conditionalFormatting sqref="E6:H25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10">
    <cfRule type="expression" priority="5" aboveAverage="0" equalAverage="0" bottom="0" percent="0" rank="0" text="" dxfId="3">
      <formula>AND(ISNUMBER(I6),I6&lt;5)</formula>
    </cfRule>
  </conditionalFormatting>
  <conditionalFormatting sqref="M19:M25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2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9 E10:I10 E12:H25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2:D25" type="list">
      <formula1>"x"</formula1>
      <formula2>0</formula2>
    </dataValidation>
  </dataValidations>
  <hyperlinks>
    <hyperlink ref="B35" r:id="rId2" display="https://recht.saarland.de/bssl/document/jlr-OberStVSL2007rahmen"/>
    <hyperlink ref="B37" r:id="rId3" display="Online-Rechner Saarland mit Statistik und PDF-Download: https://www.abi-rechner.com/bundeslander/saarland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Saarland · abi-rechner.com · Stand September 2026</oddFooter>
  </headerFooter>
  <legacy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7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453</v>
      </c>
      <c r="T1" s="15" t="s">
        <v>72</v>
      </c>
      <c r="BZ1" s="15" t="s">
        <v>73</v>
      </c>
      <c r="CA1" s="15" t="s">
        <v>74</v>
      </c>
      <c r="CB1" s="15" t="s">
        <v>75</v>
      </c>
      <c r="CC1" s="15" t="s">
        <v>76</v>
      </c>
    </row>
    <row r="2" customFormat="false" ht="15" hidden="false" customHeight="false" outlineLevel="0" collapsed="false">
      <c r="B2" s="2" t="s">
        <v>454</v>
      </c>
      <c r="T2" s="15" t="s">
        <v>78</v>
      </c>
      <c r="U2" s="15" t="n">
        <f aca="false">IFERROR(AVERAGE($E$6:$H$25),7)</f>
        <v>7</v>
      </c>
      <c r="BZ2" s="15" t="n">
        <f aca="false">IFERROR(LARGE($AH$6:$AK$25,1),0)</f>
        <v>0</v>
      </c>
      <c r="CA2" s="15" t="n">
        <f aca="false">BZ2</f>
        <v>0</v>
      </c>
      <c r="CB2" s="15" t="n">
        <f aca="false">IFERROR(LARGE($AM$6:$AP$25,1),0)</f>
        <v>0</v>
      </c>
      <c r="CC2" s="15" t="n">
        <f aca="false">CB2</f>
        <v>0</v>
      </c>
      <c r="CE2" s="15" t="s">
        <v>79</v>
      </c>
      <c r="CF2" s="15" t="s">
        <v>80</v>
      </c>
      <c r="CG2" s="15" t="s">
        <v>81</v>
      </c>
      <c r="CH2" s="15" t="s">
        <v>82</v>
      </c>
      <c r="CI2" s="15" t="s">
        <v>83</v>
      </c>
      <c r="CJ2" s="15" t="s">
        <v>84</v>
      </c>
      <c r="CK2" s="15" t="s">
        <v>85</v>
      </c>
      <c r="CL2" s="15" t="s">
        <v>86</v>
      </c>
      <c r="CM2" s="15" t="s">
        <v>87</v>
      </c>
      <c r="CN2" s="15" t="s">
        <v>88</v>
      </c>
      <c r="CO2" s="15" t="s">
        <v>89</v>
      </c>
      <c r="CP2" s="15" t="s">
        <v>90</v>
      </c>
      <c r="CQ2" s="15" t="s">
        <v>91</v>
      </c>
      <c r="CR2" s="15" t="s">
        <v>92</v>
      </c>
      <c r="CS2" s="15" t="s">
        <v>93</v>
      </c>
      <c r="CT2" s="15" t="s">
        <v>94</v>
      </c>
      <c r="CU2" s="15" t="s">
        <v>95</v>
      </c>
      <c r="CV2" s="15" t="s">
        <v>96</v>
      </c>
      <c r="CW2" s="15" t="s">
        <v>97</v>
      </c>
      <c r="CX2" s="15" t="s">
        <v>98</v>
      </c>
      <c r="CY2" s="15" t="s">
        <v>99</v>
      </c>
      <c r="CZ2" s="15" t="s">
        <v>100</v>
      </c>
      <c r="DA2" s="15" t="s">
        <v>101</v>
      </c>
      <c r="DB2" s="15" t="s">
        <v>102</v>
      </c>
      <c r="DC2" s="15" t="s">
        <v>103</v>
      </c>
      <c r="DD2" s="15" t="s">
        <v>104</v>
      </c>
      <c r="DE2" s="15" t="s">
        <v>105</v>
      </c>
      <c r="DF2" s="15" t="s">
        <v>106</v>
      </c>
      <c r="DG2" s="15" t="s">
        <v>107</v>
      </c>
      <c r="DH2" s="15" t="s">
        <v>108</v>
      </c>
    </row>
    <row r="3" customFormat="false" ht="15" hidden="false" customHeight="false" outlineLevel="0" collapsed="false">
      <c r="B3" s="16" t="s">
        <v>109</v>
      </c>
      <c r="T3" s="15" t="s">
        <v>110</v>
      </c>
      <c r="U3" s="15" t="n">
        <f aca="false">IFERROR(AVERAGE($I$6:$I$10),$U$2)</f>
        <v>7</v>
      </c>
      <c r="BZ3" s="15" t="n">
        <f aca="false">IFERROR(LARGE($AH$6:$AK$25,2),0)</f>
        <v>0</v>
      </c>
      <c r="CA3" s="15" t="n">
        <f aca="false">CA2+BZ3</f>
        <v>0</v>
      </c>
      <c r="CB3" s="15" t="n">
        <f aca="false">IFERROR(LARGE($AM$6:$AP$25,2),0)</f>
        <v>0</v>
      </c>
      <c r="CC3" s="15" t="n">
        <f aca="false">CC2+CB3</f>
        <v>0</v>
      </c>
      <c r="CE3" s="15" t="n">
        <f aca="false">40</f>
        <v>40</v>
      </c>
      <c r="CF3" s="15" t="n">
        <f aca="false">CE3-$U$5-$U$6-0</f>
        <v>20</v>
      </c>
      <c r="CG3" s="15" t="n">
        <f aca="false">MAX(0,CF3)</f>
        <v>20</v>
      </c>
      <c r="CH3" s="15" t="n">
        <f aca="false">MIN(CG3,$U$7)</f>
        <v>0</v>
      </c>
      <c r="CI3" s="15" t="n">
        <f aca="false">CG3-CH3</f>
        <v>20</v>
      </c>
      <c r="CJ3" s="15" t="n">
        <f aca="false">0</f>
        <v>0</v>
      </c>
      <c r="CK3" s="15" t="n">
        <f aca="false">$U$5+CH3+CJ3</f>
        <v>0</v>
      </c>
      <c r="CL3" s="15" t="n">
        <f aca="false">2*AW6+2*AX6+2*AW7+2*AX7</f>
        <v>0</v>
      </c>
      <c r="CM3" s="15" t="n">
        <f aca="false">2*AY6+2*AZ6+2*AY7+2*AZ7+1*AY8+1*AZ8+1*AY9+1*AZ9+1*AY10+1*AZ10+SUM($AA$12:$AA$25)</f>
        <v>0</v>
      </c>
      <c r="CN3" s="15" t="n">
        <f aca="false">IF(CH3=0,0,INDEX($CA$2:$CA$57,CH3))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IF(CP3&gt;0,MIN(600,INT((CO3/CP3*40)+0.5+0.000000001)),0)</f>
        <v>0</v>
      </c>
      <c r="CR3" s="15" t="n">
        <f aca="false">$U$9+CT3</f>
        <v>0</v>
      </c>
      <c r="CS3" s="15" t="n">
        <f aca="false">8</f>
        <v>8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IF($U$9&lt;=4,1,0)</f>
        <v>1</v>
      </c>
      <c r="CY3" s="15" t="n">
        <f aca="false">1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40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111</v>
      </c>
      <c r="U4" s="15" t="n">
        <f aca="false">IF(COUNT($E$6:$H$25,$I$6:$I$10)&gt;0,1,0)</f>
        <v>0</v>
      </c>
      <c r="BZ4" s="15" t="n">
        <f aca="false">IFERROR(LARGE($AH$6:$AK$25,3),0)</f>
        <v>0</v>
      </c>
      <c r="CA4" s="15" t="n">
        <f aca="false">CA3+BZ4</f>
        <v>0</v>
      </c>
      <c r="CB4" s="15" t="n">
        <f aca="false">IFERROR(LARGE($AM$6:$AP$25,3),0)</f>
        <v>0</v>
      </c>
      <c r="CC4" s="15" t="n">
        <f aca="false">CC3+CB4</f>
        <v>0</v>
      </c>
    </row>
    <row r="5" customFormat="false" ht="30" hidden="false" customHeight="true" outlineLevel="0" collapsed="false">
      <c r="B5" s="17" t="s">
        <v>9</v>
      </c>
      <c r="C5" s="17" t="s">
        <v>112</v>
      </c>
      <c r="D5" s="18"/>
      <c r="E5" s="18" t="s">
        <v>113</v>
      </c>
      <c r="F5" s="18" t="s">
        <v>114</v>
      </c>
      <c r="G5" s="18" t="s">
        <v>115</v>
      </c>
      <c r="H5" s="18" t="s">
        <v>116</v>
      </c>
      <c r="I5" s="18" t="s">
        <v>11</v>
      </c>
      <c r="J5" s="18" t="s">
        <v>117</v>
      </c>
      <c r="L5" s="19" t="s">
        <v>118</v>
      </c>
      <c r="M5" s="20"/>
      <c r="N5" s="20"/>
      <c r="T5" s="15" t="s">
        <v>119</v>
      </c>
      <c r="U5" s="15" t="n">
        <f aca="false">AY6+AY7+AY8+AY9+AY10+AZ6+AZ7+AZ8+AZ9+AZ10+SUM($AA$12:$AA$25)</f>
        <v>0</v>
      </c>
      <c r="V5" s="15" t="n">
        <f aca="false">BG6+BG7+BG8+BG9+BG10+BH6+BH7+BH8+BH9+BH10+SUM($AE$12:$AE$25)</f>
        <v>20</v>
      </c>
      <c r="AH5" s="15" t="s">
        <v>120</v>
      </c>
      <c r="AM5" s="15" t="s">
        <v>121</v>
      </c>
      <c r="AR5" s="15" t="s">
        <v>122</v>
      </c>
      <c r="AW5" s="15" t="s">
        <v>123</v>
      </c>
      <c r="AX5" s="15" t="s">
        <v>124</v>
      </c>
      <c r="AY5" s="15" t="s">
        <v>125</v>
      </c>
      <c r="AZ5" s="15" t="s">
        <v>126</v>
      </c>
      <c r="BA5" s="15" t="s">
        <v>127</v>
      </c>
      <c r="BB5" s="15" t="s">
        <v>128</v>
      </c>
      <c r="BC5" s="15" t="s">
        <v>129</v>
      </c>
      <c r="BD5" s="15" t="s">
        <v>130</v>
      </c>
      <c r="BE5" s="15" t="s">
        <v>131</v>
      </c>
      <c r="BF5" s="15" t="s">
        <v>132</v>
      </c>
      <c r="BG5" s="15" t="s">
        <v>133</v>
      </c>
      <c r="BH5" s="15" t="s">
        <v>134</v>
      </c>
      <c r="BI5" s="15" t="s">
        <v>135</v>
      </c>
      <c r="BJ5" s="15" t="s">
        <v>136</v>
      </c>
      <c r="BK5" s="15" t="s">
        <v>137</v>
      </c>
      <c r="BL5" s="15" t="s">
        <v>138</v>
      </c>
      <c r="BN5" s="15" t="s">
        <v>139</v>
      </c>
      <c r="BO5" s="15" t="s">
        <v>140</v>
      </c>
      <c r="BP5" s="15" t="s">
        <v>141</v>
      </c>
      <c r="BQ5" s="15" t="s">
        <v>128</v>
      </c>
      <c r="BR5" s="15" t="s">
        <v>142</v>
      </c>
      <c r="BT5" s="15" t="s">
        <v>143</v>
      </c>
      <c r="BU5" s="15" t="s">
        <v>144</v>
      </c>
      <c r="BV5" s="15" t="s">
        <v>145</v>
      </c>
      <c r="BW5" s="15" t="s">
        <v>136</v>
      </c>
      <c r="BX5" s="15" t="s">
        <v>146</v>
      </c>
      <c r="BZ5" s="15" t="n">
        <f aca="false">IFERROR(LARGE($AH$6:$AK$25,4),0)</f>
        <v>0</v>
      </c>
      <c r="CA5" s="15" t="n">
        <f aca="false">CA4+BZ5</f>
        <v>0</v>
      </c>
      <c r="CB5" s="15" t="n">
        <f aca="false">IFERROR(LARGE($AM$6:$AP$25,4),0)</f>
        <v>0</v>
      </c>
      <c r="CC5" s="15" t="n">
        <f aca="false">CC4+CB5</f>
        <v>0</v>
      </c>
    </row>
    <row r="6" customFormat="false" ht="39.75" hidden="false" customHeight="true" outlineLevel="0" collapsed="false">
      <c r="B6" s="21" t="s">
        <v>315</v>
      </c>
      <c r="C6" s="22"/>
      <c r="D6" s="23" t="s">
        <v>148</v>
      </c>
      <c r="E6" s="24"/>
      <c r="F6" s="24"/>
      <c r="G6" s="24"/>
      <c r="H6" s="24"/>
      <c r="I6" s="25"/>
      <c r="J6" s="24"/>
      <c r="L6" s="26" t="s">
        <v>149</v>
      </c>
      <c r="M6" s="27" t="str">
        <f aca="false">IF($U$4=0,"Noch keine Eingaben – trag deine Punkte in die gelben Felder ein.",IF($U$37=1,"Endergebnis (alle Felder ausgefüllt)","Prognose: "&amp;$U$36&amp;" Felder offen, gefüllt mit deinem Schnitt von "&amp;FIXED($U$2,1)&amp;" Punkten"))</f>
        <v>Noch keine Eingaben – trag deine Punkte in die gelben Felder ein.</v>
      </c>
      <c r="N6" s="27"/>
      <c r="T6" s="15" t="s">
        <v>150</v>
      </c>
      <c r="U6" s="15" t="n">
        <f aca="false">BC6+BC7+BC8+BC9+BC10</f>
        <v>20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IF(BN6="","",IF(ISNUMBER($J$6),INT(((2*BN6+$J$6)/3*$U$15)+0.5+0.000000001),BN6*$U$15))</f>
        <v/>
      </c>
      <c r="BP6" s="15" t="n">
        <f aca="false">IF(BO6="",0,IF(BO6&gt;=5*$U$15-0.000000001,1,0))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IF(BT6="","",IF(ISNUMBER($J$6),INT(((2*BT6+$J$6)/3*$U$15)+0.5+0.000000001),BT6*$U$15))</f>
        <v>28</v>
      </c>
      <c r="BV6" s="15" t="n">
        <f aca="false">IF(BU6="",0,IF(BU6&gt;=5*$U$15-0.000000001,1,0))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IFERROR(LARGE($AH$6:$AK$25,5),0)</f>
        <v>0</v>
      </c>
      <c r="CA6" s="15" t="n">
        <f aca="false">CA5+BZ6</f>
        <v>0</v>
      </c>
      <c r="CB6" s="15" t="n">
        <f aca="false">IFERROR(LARGE($AM$6:$AP$25,5),0)</f>
        <v>0</v>
      </c>
      <c r="CC6" s="15" t="n">
        <f aca="false">CC5+CB6</f>
        <v>0</v>
      </c>
    </row>
    <row r="7" customFormat="false" ht="37.5" hidden="false" customHeight="true" outlineLevel="0" collapsed="false">
      <c r="B7" s="21" t="s">
        <v>316</v>
      </c>
      <c r="C7" s="22"/>
      <c r="D7" s="23" t="s">
        <v>148</v>
      </c>
      <c r="E7" s="24"/>
      <c r="F7" s="24"/>
      <c r="G7" s="24"/>
      <c r="H7" s="24"/>
      <c r="I7" s="25"/>
      <c r="J7" s="24"/>
      <c r="L7" s="26" t="s">
        <v>152</v>
      </c>
      <c r="M7" s="28" t="str">
        <f aca="false">IF($U$4=0,"",$U$38)</f>
        <v/>
      </c>
      <c r="N7" s="29" t="s">
        <v>153</v>
      </c>
      <c r="T7" s="15" t="s">
        <v>154</v>
      </c>
      <c r="U7" s="15" t="n">
        <f aca="false">COUNT($AH$6:$AK$25)</f>
        <v>0</v>
      </c>
      <c r="V7" s="15" t="n">
        <f aca="false">COUNT($AM$6:$AP$25)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IF(BN7="","",IF(ISNUMBER($J$7),INT(((2*BN7+$J$7)/3*$U$15)+0.5+0.000000001),BN7*$U$15))</f>
        <v/>
      </c>
      <c r="BP7" s="15" t="n">
        <f aca="false">IF(BO7="",0,IF(BO7&gt;=5*$U$15-0.000000001,1,0))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IF(BT7="","",IF(ISNUMBER($J$7),INT(((2*BT7+$J$7)/3*$U$15)+0.5+0.000000001),BT7*$U$15))</f>
        <v>28</v>
      </c>
      <c r="BV7" s="15" t="n">
        <f aca="false">IF(BU7="",0,IF(BU7&gt;=5*$U$15-0.000000001,1,0))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IFERROR(LARGE($AH$6:$AK$25,6),0)</f>
        <v>0</v>
      </c>
      <c r="CA7" s="15" t="n">
        <f aca="false">CA6+BZ7</f>
        <v>0</v>
      </c>
      <c r="CB7" s="15" t="n">
        <f aca="false">IFERROR(LARGE($AM$6:$AP$25,6),0)</f>
        <v>0</v>
      </c>
      <c r="CC7" s="15" t="n">
        <f aca="false">CC6+CB7</f>
        <v>0</v>
      </c>
    </row>
    <row r="8" customFormat="false" ht="37.5" hidden="false" customHeight="true" outlineLevel="0" collapsed="false">
      <c r="B8" s="21" t="s">
        <v>317</v>
      </c>
      <c r="C8" s="22"/>
      <c r="D8" s="23" t="s">
        <v>148</v>
      </c>
      <c r="E8" s="24"/>
      <c r="F8" s="24"/>
      <c r="G8" s="24"/>
      <c r="H8" s="24"/>
      <c r="I8" s="25"/>
      <c r="J8" s="24"/>
      <c r="L8" s="26" t="s">
        <v>156</v>
      </c>
      <c r="M8" s="28" t="str">
        <f aca="false">IF($U$4=0,"",$U$61)</f>
        <v/>
      </c>
      <c r="N8" s="29" t="s">
        <v>157</v>
      </c>
      <c r="T8" s="15" t="s">
        <v>158</v>
      </c>
      <c r="U8" s="15" t="n">
        <f aca="false">COUNTIF($AH$6:$AK$25,"&gt;=5")</f>
        <v>0</v>
      </c>
      <c r="V8" s="15" t="n">
        <f aca="false">COUNTIF($AM$6:$AP$25,"&gt;=5")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IF(BN8="","",IF(ISNUMBER($J$8),INT(((2*BN8+$J$8)/3*$U$15)+0.5+0.000000001),BN8*$U$15))</f>
        <v/>
      </c>
      <c r="BP8" s="15" t="n">
        <f aca="false">IF(BO8="",0,IF(BO8&gt;=5*$U$15-0.000000001,1,0))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IF(BT8="","",IF(ISNUMBER($J$8),INT(((2*BT8+$J$8)/3*$U$15)+0.5+0.000000001),BT8*$U$15))</f>
        <v>28</v>
      </c>
      <c r="BV8" s="15" t="n">
        <f aca="false">IF(BU8="",0,IF(BU8&gt;=5*$U$15-0.000000001,1,0))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IFERROR(LARGE($AH$6:$AK$25,7),0)</f>
        <v>0</v>
      </c>
      <c r="CA8" s="15" t="n">
        <f aca="false">CA7+BZ8</f>
        <v>0</v>
      </c>
      <c r="CB8" s="15" t="n">
        <f aca="false">IFERROR(LARGE($AM$6:$AP$25,7),0)</f>
        <v>0</v>
      </c>
      <c r="CC8" s="15" t="n">
        <f aca="false">CC7+CB8</f>
        <v>0</v>
      </c>
    </row>
    <row r="9" customFormat="false" ht="37.5" hidden="false" customHeight="true" outlineLevel="0" collapsed="false">
      <c r="B9" s="21" t="s">
        <v>318</v>
      </c>
      <c r="C9" s="22"/>
      <c r="D9" s="23" t="s">
        <v>148</v>
      </c>
      <c r="E9" s="24"/>
      <c r="F9" s="24"/>
      <c r="G9" s="24"/>
      <c r="H9" s="24"/>
      <c r="I9" s="25"/>
      <c r="J9" s="30" t="s">
        <v>160</v>
      </c>
      <c r="L9" s="31" t="s">
        <v>161</v>
      </c>
      <c r="M9" s="32" t="str">
        <f aca="false">IF($U$4=0,"",$U$67)</f>
        <v/>
      </c>
      <c r="N9" s="29" t="s">
        <v>162</v>
      </c>
      <c r="T9" s="15" t="s">
        <v>163</v>
      </c>
      <c r="U9" s="15" t="n">
        <f aca="false">BA6+BA7</f>
        <v>0</v>
      </c>
      <c r="V9" s="15" t="n">
        <f aca="false">BI6+BI7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IF(BN9="","",BN9*$U$15)</f>
        <v/>
      </c>
      <c r="BP9" s="15" t="n">
        <f aca="false">IF(BO9="",0,IF(BO9&gt;=5*$U$15-0.000000001,1,0))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IF(BT9="","",BT9*$U$15)</f>
        <v>28</v>
      </c>
      <c r="BV9" s="15" t="n">
        <f aca="false">IF(BU9="",0,IF(BU9&gt;=5*$U$15-0.000000001,1,0))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IFERROR(LARGE($AH$6:$AK$25,8),0)</f>
        <v>0</v>
      </c>
      <c r="CA9" s="15" t="n">
        <f aca="false">CA8+BZ9</f>
        <v>0</v>
      </c>
      <c r="CB9" s="15" t="n">
        <f aca="false">IFERROR(LARGE($AM$6:$AP$25,8),0)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21" t="s">
        <v>455</v>
      </c>
      <c r="C10" s="22"/>
      <c r="D10" s="23" t="s">
        <v>148</v>
      </c>
      <c r="E10" s="24"/>
      <c r="F10" s="24"/>
      <c r="G10" s="24"/>
      <c r="H10" s="24"/>
      <c r="I10" s="25"/>
      <c r="J10" s="30" t="s">
        <v>160</v>
      </c>
      <c r="L10" s="31" t="s">
        <v>165</v>
      </c>
      <c r="M10" s="33" t="str">
        <f aca="false">IF($U$4=0,"",IF($U$69=1,$U$70/10,"nicht bestanden"))</f>
        <v/>
      </c>
      <c r="N10" s="29"/>
      <c r="T10" s="15" t="s">
        <v>166</v>
      </c>
      <c r="U10" s="15" t="n">
        <f aca="false">BA8+BA9+BA10+SUM($AB$12:$AB$25)</f>
        <v>0</v>
      </c>
      <c r="V10" s="15" t="n">
        <f aca="false">BI8+BI9+BI10+SUM($AF$12:$AF$25)</f>
        <v>0</v>
      </c>
      <c r="AR10" s="15" t="n">
        <f aca="false">IF(ISNUMBER(E10),1,0)</f>
        <v>0</v>
      </c>
      <c r="AS10" s="15" t="n">
        <f aca="false">IF(ISNUMBER(F10),1,0)</f>
        <v>0</v>
      </c>
      <c r="AT10" s="15" t="n">
        <f aca="false">IF(ISNUMBER(G10),1,0)</f>
        <v>0</v>
      </c>
      <c r="AU10" s="15" t="n">
        <f aca="false">IF(ISNUMBER(H10),1,0)</f>
        <v>0</v>
      </c>
      <c r="AW10" s="15" t="n">
        <f aca="false">SUM(E10:G10)</f>
        <v>0</v>
      </c>
      <c r="AX10" s="15" t="n">
        <f aca="false">SUM(H10:H10)</f>
        <v>0</v>
      </c>
      <c r="AY10" s="15" t="n">
        <f aca="false">COUNT(E10:G10)</f>
        <v>0</v>
      </c>
      <c r="AZ10" s="15" t="n">
        <f aca="false">COUNT(H10:H10)</f>
        <v>0</v>
      </c>
      <c r="BA10" s="15" t="n">
        <f aca="false">COUNTIF(E10:H10,"&lt;5")</f>
        <v>0</v>
      </c>
      <c r="BB10" s="15" t="n">
        <f aca="false">COUNTIF(E10:H10,0)</f>
        <v>0</v>
      </c>
      <c r="BC10" s="15" t="n">
        <f aca="false">4-COUNT(E10:H10)</f>
        <v>4</v>
      </c>
      <c r="BD10" s="15" t="n">
        <f aca="false">SUM(E10:H10)</f>
        <v>0</v>
      </c>
      <c r="BE10" s="15" t="n">
        <f aca="false">SUM(E10:G10)+$U$2*(3-COUNT(E10:G10))</f>
        <v>21</v>
      </c>
      <c r="BF10" s="15" t="n">
        <f aca="false">SUM(H10:H10)+$U$2*(1-COUNT(H10:H10))</f>
        <v>7</v>
      </c>
      <c r="BG10" s="15" t="n">
        <f aca="false">3</f>
        <v>3</v>
      </c>
      <c r="BH10" s="15" t="n">
        <f aca="false">1</f>
        <v>1</v>
      </c>
      <c r="BI10" s="15" t="n">
        <f aca="false">COUNTIF(E10:H10,"&lt;5")+IF($U$2&lt;5,1,0)*(4-COUNT(E10:H10))</f>
        <v>0</v>
      </c>
      <c r="BJ10" s="15" t="n">
        <f aca="false">COUNTIF(E10:H10,0)</f>
        <v>0</v>
      </c>
      <c r="BK10" s="15" t="n">
        <f aca="false">0</f>
        <v>0</v>
      </c>
      <c r="BL10" s="15" t="n">
        <f aca="false">SUM(E10:H10)+$U$2*(4-COUNT(E10:H10))</f>
        <v>28</v>
      </c>
      <c r="BN10" s="15" t="str">
        <f aca="false">IF(ISNUMBER($I$10),$I$10,"")</f>
        <v/>
      </c>
      <c r="BO10" s="15" t="str">
        <f aca="false">IF(BN10="","",BN10*$U$15)</f>
        <v/>
      </c>
      <c r="BP10" s="15" t="n">
        <f aca="false">IF(BO10="",0,IF(BO10&gt;=5*$U$15-0.000000001,1,0))</f>
        <v>0</v>
      </c>
      <c r="BQ10" s="15" t="n">
        <f aca="false">IF(BO10="",0,IF(BO10&lt;0.000000001,1,0))</f>
        <v>0</v>
      </c>
      <c r="BR10" s="15" t="n">
        <f aca="false">0</f>
        <v>0</v>
      </c>
      <c r="BT10" s="15" t="n">
        <f aca="false">IF(ISNUMBER($I$10),$I$10,$U$3)</f>
        <v>7</v>
      </c>
      <c r="BU10" s="15" t="n">
        <f aca="false">IF(BT10="","",BT10*$U$15)</f>
        <v>28</v>
      </c>
      <c r="BV10" s="15" t="n">
        <f aca="false">IF(BU10="",0,IF(BU10&gt;=5*$U$15-0.000000001,1,0))</f>
        <v>1</v>
      </c>
      <c r="BW10" s="15" t="n">
        <f aca="false">IF(BU10="",0,IF(BU10&lt;0.000000001,1,0))</f>
        <v>0</v>
      </c>
      <c r="BX10" s="15" t="n">
        <f aca="false">0</f>
        <v>0</v>
      </c>
      <c r="BZ10" s="15" t="n">
        <f aca="false">IFERROR(LARGE($AH$6:$AK$25,9),0)</f>
        <v>0</v>
      </c>
      <c r="CA10" s="15" t="n">
        <f aca="false">CA9+BZ10</f>
        <v>0</v>
      </c>
      <c r="CB10" s="15" t="n">
        <f aca="false">IFERROR(LARGE($AM$6:$AP$25,9),0)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6" t="s">
        <v>167</v>
      </c>
      <c r="C11" s="6" t="s">
        <v>112</v>
      </c>
      <c r="D11" s="34" t="s">
        <v>168</v>
      </c>
      <c r="E11" s="35" t="s">
        <v>113</v>
      </c>
      <c r="F11" s="35" t="s">
        <v>114</v>
      </c>
      <c r="G11" s="35" t="s">
        <v>115</v>
      </c>
      <c r="H11" s="35" t="s">
        <v>116</v>
      </c>
      <c r="I11" s="20"/>
      <c r="J11" s="20"/>
      <c r="L11" s="26" t="s">
        <v>169</v>
      </c>
      <c r="M11" s="28" t="str">
        <f aca="false">IF($U$4=0,"",IF($U$71="","–",$U$71))</f>
        <v/>
      </c>
      <c r="N11" s="29" t="str">
        <f aca="false">IF($U$4=0,"",IF($U$70="","Punkte bis 300",IF($U$71="","Bestnote erreicht","Punkte → "&amp;FIXED(($U$70-1)/10,1))))</f>
        <v/>
      </c>
      <c r="T11" s="15" t="s">
        <v>170</v>
      </c>
      <c r="U11" s="15" t="n">
        <f aca="false">AW8+AW9+AW10+AX8+AX9+AX10+SUM($Z$12:$Z$25)</f>
        <v>0</v>
      </c>
      <c r="V11" s="15" t="n">
        <f aca="false">BE8+BE9+BE10+BF8+BF9+BF10+SUM($AD$12:$AD$25)</f>
        <v>84</v>
      </c>
      <c r="X11" s="15" t="s">
        <v>171</v>
      </c>
      <c r="Y11" s="15" t="s">
        <v>172</v>
      </c>
      <c r="Z11" s="15" t="s">
        <v>173</v>
      </c>
      <c r="AA11" s="15" t="s">
        <v>174</v>
      </c>
      <c r="AB11" s="15" t="s">
        <v>127</v>
      </c>
      <c r="AC11" s="15" t="s">
        <v>128</v>
      </c>
      <c r="AD11" s="15" t="s">
        <v>175</v>
      </c>
      <c r="AE11" s="15" t="s">
        <v>176</v>
      </c>
      <c r="AF11" s="15" t="s">
        <v>135</v>
      </c>
      <c r="BZ11" s="15" t="n">
        <f aca="false">IFERROR(LARGE($AH$6:$AK$25,10),0)</f>
        <v>0</v>
      </c>
      <c r="CA11" s="15" t="n">
        <f aca="false">CA10+BZ11</f>
        <v>0</v>
      </c>
      <c r="CB11" s="15" t="n">
        <f aca="false">IFERROR(LARGE($AM$6:$AP$25,10),0)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6" t="s">
        <v>177</v>
      </c>
      <c r="C12" s="37"/>
      <c r="D12" s="38"/>
      <c r="E12" s="24"/>
      <c r="F12" s="24"/>
      <c r="G12" s="24"/>
      <c r="H12" s="24"/>
      <c r="I12" s="39"/>
      <c r="J12" s="39"/>
      <c r="L12" s="26" t="s">
        <v>178</v>
      </c>
      <c r="M12" s="28" t="str">
        <f aca="false">IF(OR($U$4=0,$U$72=""),"",$U$72)</f>
        <v/>
      </c>
      <c r="N12" s="29" t="str">
        <f aca="false">IF(OR($U$4=0,$U$72=""),"","Punkte Luft")</f>
        <v/>
      </c>
      <c r="T12" s="15" t="s">
        <v>179</v>
      </c>
      <c r="U12" s="15" t="n">
        <f aca="false">BB6+BB7+BB8+BB9+BB10+SUM($AC$12:$AC$25)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IF(Y12=1,IF(ISNUMBER(E12),1,0),IF(AH12="",0,IF(IF($U$37=1,COUNTIF($AH$6:$AK$25,"&gt;"&amp;AH12),COUNTIF($AM$6:$AP$25,"&gt;"&amp;AH12))+COUNTIF($AH$6:$AK$11,AH12)+1&lt;=$U$47,1,0)))</f>
        <v>0</v>
      </c>
      <c r="AS12" s="15" t="n">
        <f aca="false">IF(Y12=1,IF(ISNUMBER(F12),1,0),IF(AI12="",0,IF(IF($U$37=1,COUNTIF($AH$6:$AK$25,"&gt;"&amp;AI12),COUNTIF($AM$6:$AP$25,"&gt;"&amp;AI12))+COUNTIF($AH$6:$AK$11,AI12)+COUNTIF($AH12:AH12,AI12)+1&lt;=$U$47,1,0)))</f>
        <v>0</v>
      </c>
      <c r="AT12" s="15" t="n">
        <f aca="false">IF(Y12=1,IF(ISNUMBER(G12),1,0),IF(AJ12="",0,IF(IF($U$37=1,COUNTIF($AH$6:$AK$25,"&gt;"&amp;AJ12),COUNTIF($AM$6:$AP$25,"&gt;"&amp;AJ12))+COUNTIF($AH$6:$AK$11,AJ12)+COUNTIF($AH12:AI12,AJ12)+1&lt;=$U$47,1,0)))</f>
        <v>0</v>
      </c>
      <c r="AU12" s="15" t="n">
        <f aca="false">IF(Y12=1,IF(ISNUMBER(H12),1,0),IF(AK12="",0,IF(IF($U$37=1,COUNTIF($AH$6:$AK$25,"&gt;"&amp;AK12),COUNTIF($AM$6:$AP$25,"&gt;"&amp;AK12))+COUNTIF($AH$6:$AK$11,AK12)+COUNTIF($AH12:AJ12,AK12)+1&lt;=$U$47,1,0)))</f>
        <v>0</v>
      </c>
      <c r="BZ12" s="15" t="n">
        <f aca="false">IFERROR(LARGE($AH$6:$AK$25,11),0)</f>
        <v>0</v>
      </c>
      <c r="CA12" s="15" t="n">
        <f aca="false">CA11+BZ12</f>
        <v>0</v>
      </c>
      <c r="CB12" s="15" t="n">
        <f aca="false">IFERROR(LARGE($AM$6:$AP$25,11),0)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180</v>
      </c>
      <c r="C13" s="37"/>
      <c r="D13" s="38"/>
      <c r="E13" s="24"/>
      <c r="F13" s="24"/>
      <c r="G13" s="24"/>
      <c r="H13" s="24"/>
      <c r="I13" s="39"/>
      <c r="J13" s="39"/>
      <c r="L13" s="26" t="s">
        <v>181</v>
      </c>
      <c r="M13" s="28" t="str">
        <f aca="false">IF($U$4=0,"",$U$39)</f>
        <v/>
      </c>
      <c r="N13" s="29" t="str">
        <f aca="false">IF($U$4=0,"","Formel: "&amp;FIXED($U$46,1)&amp;" / "&amp;$U$45&amp;" × 40")</f>
        <v/>
      </c>
      <c r="T13" s="15" t="s">
        <v>182</v>
      </c>
      <c r="U13" s="15" t="n">
        <f aca="false">MATCH(MAX($DH$3:$DH$3),$DH$3:$DH$3,0)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IF(Y13=1,IF(ISNUMBER(E13),1,0),IF(AH13="",0,IF(IF($U$37=1,COUNTIF($AH$6:$AK$25,"&gt;"&amp;AH13),COUNTIF($AM$6:$AP$25,"&gt;"&amp;AH13))+COUNTIF($AH$6:$AK$12,AH13)+1&lt;=$U$47,1,0)))</f>
        <v>0</v>
      </c>
      <c r="AS13" s="15" t="n">
        <f aca="false">IF(Y13=1,IF(ISNUMBER(F13),1,0),IF(AI13="",0,IF(IF($U$37=1,COUNTIF($AH$6:$AK$25,"&gt;"&amp;AI13),COUNTIF($AM$6:$AP$25,"&gt;"&amp;AI13))+COUNTIF($AH$6:$AK$12,AI13)+COUNTIF($AH13:AH13,AI13)+1&lt;=$U$47,1,0)))</f>
        <v>0</v>
      </c>
      <c r="AT13" s="15" t="n">
        <f aca="false">IF(Y13=1,IF(ISNUMBER(G13),1,0),IF(AJ13="",0,IF(IF($U$37=1,COUNTIF($AH$6:$AK$25,"&gt;"&amp;AJ13),COUNTIF($AM$6:$AP$25,"&gt;"&amp;AJ13))+COUNTIF($AH$6:$AK$12,AJ13)+COUNTIF($AH13:AI13,AJ13)+1&lt;=$U$47,1,0)))</f>
        <v>0</v>
      </c>
      <c r="AU13" s="15" t="n">
        <f aca="false">IF(Y13=1,IF(ISNUMBER(H13),1,0),IF(AK13="",0,IF(IF($U$37=1,COUNTIF($AH$6:$AK$25,"&gt;"&amp;AK13),COUNTIF($AM$6:$AP$25,"&gt;"&amp;AK13))+COUNTIF($AH$6:$AK$12,AK13)+COUNTIF($AH13:AJ13,AK13)+1&lt;=$U$47,1,0)))</f>
        <v>0</v>
      </c>
      <c r="BZ13" s="15" t="n">
        <f aca="false">IFERROR(LARGE($AH$6:$AK$25,12),0)</f>
        <v>0</v>
      </c>
      <c r="CA13" s="15" t="n">
        <f aca="false">CA12+BZ13</f>
        <v>0</v>
      </c>
      <c r="CB13" s="15" t="n">
        <f aca="false">IFERROR(LARGE($AM$6:$AP$25,12),0)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183</v>
      </c>
      <c r="C14" s="37"/>
      <c r="D14" s="38"/>
      <c r="E14" s="24"/>
      <c r="F14" s="24"/>
      <c r="G14" s="24"/>
      <c r="H14" s="24"/>
      <c r="I14" s="39"/>
      <c r="J14" s="39"/>
      <c r="L14" s="26" t="s">
        <v>184</v>
      </c>
      <c r="M14" s="28" t="str">
        <f aca="false">IF($U$4=0,"",$U$40)</f>
        <v/>
      </c>
      <c r="N14" s="29" t="str">
        <f aca="false">IF($U$4=0,"","erlaubt: höchstens "&amp;$U$41)</f>
        <v/>
      </c>
      <c r="T14" s="15" t="s">
        <v>185</v>
      </c>
      <c r="U14" s="15" t="n">
        <f aca="false">MATCH(MAX($DH$23:$DH$23),$DH$23:$DH$23,0)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IF(Y14=1,IF(ISNUMBER(E14),1,0),IF(AH14="",0,IF(IF($U$37=1,COUNTIF($AH$6:$AK$25,"&gt;"&amp;AH14),COUNTIF($AM$6:$AP$25,"&gt;"&amp;AH14))+COUNTIF($AH$6:$AK$13,AH14)+1&lt;=$U$47,1,0)))</f>
        <v>0</v>
      </c>
      <c r="AS14" s="15" t="n">
        <f aca="false">IF(Y14=1,IF(ISNUMBER(F14),1,0),IF(AI14="",0,IF(IF($U$37=1,COUNTIF($AH$6:$AK$25,"&gt;"&amp;AI14),COUNTIF($AM$6:$AP$25,"&gt;"&amp;AI14))+COUNTIF($AH$6:$AK$13,AI14)+COUNTIF($AH14:AH14,AI14)+1&lt;=$U$47,1,0)))</f>
        <v>0</v>
      </c>
      <c r="AT14" s="15" t="n">
        <f aca="false">IF(Y14=1,IF(ISNUMBER(G14),1,0),IF(AJ14="",0,IF(IF($U$37=1,COUNTIF($AH$6:$AK$25,"&gt;"&amp;AJ14),COUNTIF($AM$6:$AP$25,"&gt;"&amp;AJ14))+COUNTIF($AH$6:$AK$13,AJ14)+COUNTIF($AH14:AI14,AJ14)+1&lt;=$U$47,1,0)))</f>
        <v>0</v>
      </c>
      <c r="AU14" s="15" t="n">
        <f aca="false">IF(Y14=1,IF(ISNUMBER(H14),1,0),IF(AK14="",0,IF(IF($U$37=1,COUNTIF($AH$6:$AK$25,"&gt;"&amp;AK14),COUNTIF($AM$6:$AP$25,"&gt;"&amp;AK14))+COUNTIF($AH$6:$AK$13,AK14)+COUNTIF($AH14:AJ14,AK14)+1&lt;=$U$47,1,0)))</f>
        <v>0</v>
      </c>
      <c r="BZ14" s="15" t="n">
        <f aca="false">IFERROR(LARGE($AH$6:$AK$25,13),0)</f>
        <v>0</v>
      </c>
      <c r="CA14" s="15" t="n">
        <f aca="false">CA13+BZ14</f>
        <v>0</v>
      </c>
      <c r="CB14" s="15" t="n">
        <f aca="false">IFERROR(LARGE($AM$6:$AP$25,13),0)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186</v>
      </c>
      <c r="C15" s="37"/>
      <c r="D15" s="38"/>
      <c r="E15" s="24"/>
      <c r="F15" s="24"/>
      <c r="G15" s="24"/>
      <c r="H15" s="24"/>
      <c r="I15" s="39"/>
      <c r="J15" s="39"/>
      <c r="L15" s="26" t="s">
        <v>187</v>
      </c>
      <c r="M15" s="28" t="str">
        <f aca="false">IF($U$4=0,"","+"&amp;$U$15)</f>
        <v/>
      </c>
      <c r="N15" s="29" t="s">
        <v>188</v>
      </c>
      <c r="T15" s="15" t="s">
        <v>189</v>
      </c>
      <c r="U15" s="15" t="n">
        <f aca="false">4</f>
        <v>4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IF(Y15=1,IF(ISNUMBER(E15),1,0),IF(AH15="",0,IF(IF($U$37=1,COUNTIF($AH$6:$AK$25,"&gt;"&amp;AH15),COUNTIF($AM$6:$AP$25,"&gt;"&amp;AH15))+COUNTIF($AH$6:$AK$14,AH15)+1&lt;=$U$47,1,0)))</f>
        <v>0</v>
      </c>
      <c r="AS15" s="15" t="n">
        <f aca="false">IF(Y15=1,IF(ISNUMBER(F15),1,0),IF(AI15="",0,IF(IF($U$37=1,COUNTIF($AH$6:$AK$25,"&gt;"&amp;AI15),COUNTIF($AM$6:$AP$25,"&gt;"&amp;AI15))+COUNTIF($AH$6:$AK$14,AI15)+COUNTIF($AH15:AH15,AI15)+1&lt;=$U$47,1,0)))</f>
        <v>0</v>
      </c>
      <c r="AT15" s="15" t="n">
        <f aca="false">IF(Y15=1,IF(ISNUMBER(G15),1,0),IF(AJ15="",0,IF(IF($U$37=1,COUNTIF($AH$6:$AK$25,"&gt;"&amp;AJ15),COUNTIF($AM$6:$AP$25,"&gt;"&amp;AJ15))+COUNTIF($AH$6:$AK$14,AJ15)+COUNTIF($AH15:AI15,AJ15)+1&lt;=$U$47,1,0)))</f>
        <v>0</v>
      </c>
      <c r="AU15" s="15" t="n">
        <f aca="false">IF(Y15=1,IF(ISNUMBER(H15),1,0),IF(AK15="",0,IF(IF($U$37=1,COUNTIF($AH$6:$AK$25,"&gt;"&amp;AK15),COUNTIF($AM$6:$AP$25,"&gt;"&amp;AK15))+COUNTIF($AH$6:$AK$14,AK15)+COUNTIF($AH15:AJ15,AK15)+1&lt;=$U$47,1,0)))</f>
        <v>0</v>
      </c>
      <c r="BZ15" s="15" t="n">
        <f aca="false">IFERROR(LARGE($AH$6:$AK$25,14),0)</f>
        <v>0</v>
      </c>
      <c r="CA15" s="15" t="n">
        <f aca="false">CA14+BZ15</f>
        <v>0</v>
      </c>
      <c r="CB15" s="15" t="n">
        <f aca="false">IFERROR(LARGE($AM$6:$AP$25,14),0)</f>
        <v>0</v>
      </c>
      <c r="CC15" s="15" t="n">
        <f aca="false">CC14+CB15</f>
        <v>0</v>
      </c>
    </row>
    <row r="16" customFormat="false" ht="15" hidden="false" customHeight="false" outlineLevel="0" collapsed="false">
      <c r="B16" s="36" t="s">
        <v>190</v>
      </c>
      <c r="C16" s="37"/>
      <c r="D16" s="38"/>
      <c r="E16" s="24"/>
      <c r="F16" s="24"/>
      <c r="G16" s="24"/>
      <c r="H16" s="24"/>
      <c r="I16" s="39"/>
      <c r="J16" s="39"/>
      <c r="L16" s="26" t="s">
        <v>191</v>
      </c>
      <c r="M16" s="28" t="str">
        <f aca="false">IF($U$4=0,"","≈ +"&amp;FIXED(40/$U$45,2))</f>
        <v/>
      </c>
      <c r="N16" s="29" t="s">
        <v>192</v>
      </c>
      <c r="T16" s="15" t="s">
        <v>193</v>
      </c>
      <c r="U16" s="15" t="n">
        <f aca="false">MIN(300,INT((SUM(BO6,BO7,BO8,BO9,BO10))+0.5+0.000000001))</f>
        <v>0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IF(Y16=1,IF(ISNUMBER(E16),1,0),IF(AH16="",0,IF(IF($U$37=1,COUNTIF($AH$6:$AK$25,"&gt;"&amp;AH16),COUNTIF($AM$6:$AP$25,"&gt;"&amp;AH16))+COUNTIF($AH$6:$AK$15,AH16)+1&lt;=$U$47,1,0)))</f>
        <v>0</v>
      </c>
      <c r="AS16" s="15" t="n">
        <f aca="false">IF(Y16=1,IF(ISNUMBER(F16),1,0),IF(AI16="",0,IF(IF($U$37=1,COUNTIF($AH$6:$AK$25,"&gt;"&amp;AI16),COUNTIF($AM$6:$AP$25,"&gt;"&amp;AI16))+COUNTIF($AH$6:$AK$15,AI16)+COUNTIF($AH16:AH16,AI16)+1&lt;=$U$47,1,0)))</f>
        <v>0</v>
      </c>
      <c r="AT16" s="15" t="n">
        <f aca="false">IF(Y16=1,IF(ISNUMBER(G16),1,0),IF(AJ16="",0,IF(IF($U$37=1,COUNTIF($AH$6:$AK$25,"&gt;"&amp;AJ16),COUNTIF($AM$6:$AP$25,"&gt;"&amp;AJ16))+COUNTIF($AH$6:$AK$15,AJ16)+COUNTIF($AH16:AI16,AJ16)+1&lt;=$U$47,1,0)))</f>
        <v>0</v>
      </c>
      <c r="AU16" s="15" t="n">
        <f aca="false">IF(Y16=1,IF(ISNUMBER(H16),1,0),IF(AK16="",0,IF(IF($U$37=1,COUNTIF($AH$6:$AK$25,"&gt;"&amp;AK16),COUNTIF($AM$6:$AP$25,"&gt;"&amp;AK16))+COUNTIF($AH$6:$AK$15,AK16)+COUNTIF($AH16:AJ16,AK16)+1&lt;=$U$47,1,0)))</f>
        <v>0</v>
      </c>
      <c r="BZ16" s="15" t="n">
        <f aca="false">IFERROR(LARGE($AH$6:$AK$25,15),0)</f>
        <v>0</v>
      </c>
      <c r="CA16" s="15" t="n">
        <f aca="false">CA15+BZ16</f>
        <v>0</v>
      </c>
      <c r="CB16" s="15" t="n">
        <f aca="false">IFERROR(LARGE($AM$6:$AP$25,15),0)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194</v>
      </c>
      <c r="C17" s="37"/>
      <c r="D17" s="38"/>
      <c r="E17" s="24"/>
      <c r="F17" s="24"/>
      <c r="G17" s="24"/>
      <c r="H17" s="24"/>
      <c r="I17" s="39"/>
      <c r="J17" s="39"/>
      <c r="T17" s="15" t="s">
        <v>195</v>
      </c>
      <c r="U17" s="15" t="n">
        <f aca="false">SUM(BP6,BP7,BP8,BP9,BP10)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IF(Y17=1,IF(ISNUMBER(E17),1,0),IF(AH17="",0,IF(IF($U$37=1,COUNTIF($AH$6:$AK$25,"&gt;"&amp;AH17),COUNTIF($AM$6:$AP$25,"&gt;"&amp;AH17))+COUNTIF($AH$6:$AK$16,AH17)+1&lt;=$U$47,1,0)))</f>
        <v>0</v>
      </c>
      <c r="AS17" s="15" t="n">
        <f aca="false">IF(Y17=1,IF(ISNUMBER(F17),1,0),IF(AI17="",0,IF(IF($U$37=1,COUNTIF($AH$6:$AK$25,"&gt;"&amp;AI17),COUNTIF($AM$6:$AP$25,"&gt;"&amp;AI17))+COUNTIF($AH$6:$AK$16,AI17)+COUNTIF($AH17:AH17,AI17)+1&lt;=$U$47,1,0)))</f>
        <v>0</v>
      </c>
      <c r="AT17" s="15" t="n">
        <f aca="false">IF(Y17=1,IF(ISNUMBER(G17),1,0),IF(AJ17="",0,IF(IF($U$37=1,COUNTIF($AH$6:$AK$25,"&gt;"&amp;AJ17),COUNTIF($AM$6:$AP$25,"&gt;"&amp;AJ17))+COUNTIF($AH$6:$AK$16,AJ17)+COUNTIF($AH17:AI17,AJ17)+1&lt;=$U$47,1,0)))</f>
        <v>0</v>
      </c>
      <c r="AU17" s="15" t="n">
        <f aca="false">IF(Y17=1,IF(ISNUMBER(H17),1,0),IF(AK17="",0,IF(IF($U$37=1,COUNTIF($AH$6:$AK$25,"&gt;"&amp;AK17),COUNTIF($AM$6:$AP$25,"&gt;"&amp;AK17))+COUNTIF($AH$6:$AK$16,AK17)+COUNTIF($AH17:AJ17,AK17)+1&lt;=$U$47,1,0)))</f>
        <v>0</v>
      </c>
      <c r="BZ17" s="15" t="n">
        <f aca="false">IFERROR(LARGE($AH$6:$AK$25,16),0)</f>
        <v>0</v>
      </c>
      <c r="CA17" s="15" t="n">
        <f aca="false">CA16+BZ17</f>
        <v>0</v>
      </c>
      <c r="CB17" s="15" t="n">
        <f aca="false">IFERROR(LARGE($AM$6:$AP$25,16),0)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196</v>
      </c>
      <c r="C18" s="37"/>
      <c r="D18" s="38"/>
      <c r="E18" s="24"/>
      <c r="F18" s="24"/>
      <c r="G18" s="24"/>
      <c r="H18" s="24"/>
      <c r="I18" s="39"/>
      <c r="J18" s="39"/>
      <c r="L18" s="40" t="s">
        <v>197</v>
      </c>
      <c r="M18" s="41" t="s">
        <v>149</v>
      </c>
      <c r="N18" s="6" t="s">
        <v>198</v>
      </c>
      <c r="T18" s="15" t="s">
        <v>199</v>
      </c>
      <c r="U18" s="15" t="n">
        <f aca="false">BP6+BP7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IF(Y18=1,IF(ISNUMBER(E18),1,0),IF(AH18="",0,IF(IF($U$37=1,COUNTIF($AH$6:$AK$25,"&gt;"&amp;AH18),COUNTIF($AM$6:$AP$25,"&gt;"&amp;AH18))+COUNTIF($AH$6:$AK$17,AH18)+1&lt;=$U$47,1,0)))</f>
        <v>0</v>
      </c>
      <c r="AS18" s="15" t="n">
        <f aca="false">IF(Y18=1,IF(ISNUMBER(F18),1,0),IF(AI18="",0,IF(IF($U$37=1,COUNTIF($AH$6:$AK$25,"&gt;"&amp;AI18),COUNTIF($AM$6:$AP$25,"&gt;"&amp;AI18))+COUNTIF($AH$6:$AK$17,AI18)+COUNTIF($AH18:AH18,AI18)+1&lt;=$U$47,1,0)))</f>
        <v>0</v>
      </c>
      <c r="AT18" s="15" t="n">
        <f aca="false">IF(Y18=1,IF(ISNUMBER(G18),1,0),IF(AJ18="",0,IF(IF($U$37=1,COUNTIF($AH$6:$AK$25,"&gt;"&amp;AJ18),COUNTIF($AM$6:$AP$25,"&gt;"&amp;AJ18))+COUNTIF($AH$6:$AK$17,AJ18)+COUNTIF($AH18:AI18,AJ18)+1&lt;=$U$47,1,0)))</f>
        <v>0</v>
      </c>
      <c r="AU18" s="15" t="n">
        <f aca="false">IF(Y18=1,IF(ISNUMBER(H18),1,0),IF(AK18="",0,IF(IF($U$37=1,COUNTIF($AH$6:$AK$25,"&gt;"&amp;AK18),COUNTIF($AM$6:$AP$25,"&gt;"&amp;AK18))+COUNTIF($AH$6:$AK$17,AK18)+COUNTIF($AH18:AJ18,AK18)+1&lt;=$U$47,1,0)))</f>
        <v>0</v>
      </c>
      <c r="BZ18" s="15" t="n">
        <f aca="false">IFERROR(LARGE($AH$6:$AK$25,17),0)</f>
        <v>0</v>
      </c>
      <c r="CA18" s="15" t="n">
        <f aca="false">CA17+BZ18</f>
        <v>0</v>
      </c>
      <c r="CB18" s="15" t="n">
        <f aca="false">IFERROR(LARGE($AM$6:$AP$25,17),0)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200</v>
      </c>
      <c r="C19" s="37"/>
      <c r="D19" s="38"/>
      <c r="E19" s="24"/>
      <c r="F19" s="24"/>
      <c r="G19" s="24"/>
      <c r="H19" s="24"/>
      <c r="I19" s="39"/>
      <c r="J19" s="39"/>
      <c r="L19" s="42" t="s">
        <v>201</v>
      </c>
      <c r="M19" s="43" t="str">
        <f aca="false">IF($U$4=0,"",IF($U$49=1,"✓ erfüllt","✗ nicht erfüllt"))</f>
        <v/>
      </c>
      <c r="N19" s="36" t="str">
        <f aca="false">IF($U$4=0,"",$U$38&amp;" Punkte")</f>
        <v/>
      </c>
      <c r="T19" s="15" t="s">
        <v>202</v>
      </c>
      <c r="U19" s="15" t="n">
        <f aca="false">BQ6+BQ7+BQ8+BQ9+BQ10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IF(Y19=1,IF(ISNUMBER(E19),1,0),IF(AH19="",0,IF(IF($U$37=1,COUNTIF($AH$6:$AK$25,"&gt;"&amp;AH19),COUNTIF($AM$6:$AP$25,"&gt;"&amp;AH19))+COUNTIF($AH$6:$AK$18,AH19)+1&lt;=$U$47,1,0)))</f>
        <v>0</v>
      </c>
      <c r="AS19" s="15" t="n">
        <f aca="false">IF(Y19=1,IF(ISNUMBER(F19),1,0),IF(AI19="",0,IF(IF($U$37=1,COUNTIF($AH$6:$AK$25,"&gt;"&amp;AI19),COUNTIF($AM$6:$AP$25,"&gt;"&amp;AI19))+COUNTIF($AH$6:$AK$18,AI19)+COUNTIF($AH19:AH19,AI19)+1&lt;=$U$47,1,0)))</f>
        <v>0</v>
      </c>
      <c r="AT19" s="15" t="n">
        <f aca="false">IF(Y19=1,IF(ISNUMBER(G19),1,0),IF(AJ19="",0,IF(IF($U$37=1,COUNTIF($AH$6:$AK$25,"&gt;"&amp;AJ19),COUNTIF($AM$6:$AP$25,"&gt;"&amp;AJ19))+COUNTIF($AH$6:$AK$18,AJ19)+COUNTIF($AH19:AI19,AJ19)+1&lt;=$U$47,1,0)))</f>
        <v>0</v>
      </c>
      <c r="AU19" s="15" t="n">
        <f aca="false">IF(Y19=1,IF(ISNUMBER(H19),1,0),IF(AK19="",0,IF(IF($U$37=1,COUNTIF($AH$6:$AK$25,"&gt;"&amp;AK19),COUNTIF($AM$6:$AP$25,"&gt;"&amp;AK19))+COUNTIF($AH$6:$AK$18,AK19)+COUNTIF($AH19:AJ19,AK19)+1&lt;=$U$47,1,0)))</f>
        <v>0</v>
      </c>
      <c r="BZ19" s="15" t="n">
        <f aca="false">IFERROR(LARGE($AH$6:$AK$25,18),0)</f>
        <v>0</v>
      </c>
      <c r="CA19" s="15" t="n">
        <f aca="false">CA18+BZ19</f>
        <v>0</v>
      </c>
      <c r="CB19" s="15" t="n">
        <f aca="false">IFERROR(LARGE($AM$6:$AP$25,18),0)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203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"&amp;$U$41&amp;" Unterkurse (unter 5 Punkten)"</f>
        <v>Höchstens 8 Unterkurse (unter 5 Punkten)</v>
      </c>
      <c r="M20" s="43" t="str">
        <f aca="false">IF($U$4=0,"",IF($U$50=1,"✓ erfüllt","✗ nicht erfüllt"))</f>
        <v/>
      </c>
      <c r="N20" s="36" t="str">
        <f aca="false">IF($U$4=0,"",$U$40&amp;" Unterkurse")</f>
        <v/>
      </c>
      <c r="T20" s="15" t="s">
        <v>204</v>
      </c>
      <c r="U20" s="15" t="n">
        <f aca="false">BR6+BR7+BR8+BR9+BR10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IF(Y20=1,IF(ISNUMBER(E20),1,0),IF(AH20="",0,IF(IF($U$37=1,COUNTIF($AH$6:$AK$25,"&gt;"&amp;AH20),COUNTIF($AM$6:$AP$25,"&gt;"&amp;AH20))+COUNTIF($AH$6:$AK$19,AH20)+1&lt;=$U$47,1,0)))</f>
        <v>0</v>
      </c>
      <c r="AS20" s="15" t="n">
        <f aca="false">IF(Y20=1,IF(ISNUMBER(F20),1,0),IF(AI20="",0,IF(IF($U$37=1,COUNTIF($AH$6:$AK$25,"&gt;"&amp;AI20),COUNTIF($AM$6:$AP$25,"&gt;"&amp;AI20))+COUNTIF($AH$6:$AK$19,AI20)+COUNTIF($AH20:AH20,AI20)+1&lt;=$U$47,1,0)))</f>
        <v>0</v>
      </c>
      <c r="AT20" s="15" t="n">
        <f aca="false">IF(Y20=1,IF(ISNUMBER(G20),1,0),IF(AJ20="",0,IF(IF($U$37=1,COUNTIF($AH$6:$AK$25,"&gt;"&amp;AJ20),COUNTIF($AM$6:$AP$25,"&gt;"&amp;AJ20))+COUNTIF($AH$6:$AK$19,AJ20)+COUNTIF($AH20:AI20,AJ20)+1&lt;=$U$47,1,0)))</f>
        <v>0</v>
      </c>
      <c r="AU20" s="15" t="n">
        <f aca="false">IF(Y20=1,IF(ISNUMBER(H20),1,0),IF(AK20="",0,IF(IF($U$37=1,COUNTIF($AH$6:$AK$25,"&gt;"&amp;AK20),COUNTIF($AM$6:$AP$25,"&gt;"&amp;AK20))+COUNTIF($AH$6:$AK$19,AK20)+COUNTIF($AH20:AJ20,AK20)+1&lt;=$U$47,1,0)))</f>
        <v>0</v>
      </c>
      <c r="BZ20" s="15" t="n">
        <f aca="false">IFERROR(LARGE($AH$6:$AK$25,19),0)</f>
        <v>0</v>
      </c>
      <c r="CA20" s="15" t="n">
        <f aca="false">CA19+BZ20</f>
        <v>0</v>
      </c>
      <c r="CB20" s="15" t="n">
        <f aca="false">IFERROR(LARGE($AM$6:$AP$25,19),0)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205</v>
      </c>
      <c r="C21" s="37"/>
      <c r="D21" s="38"/>
      <c r="E21" s="24"/>
      <c r="F21" s="24"/>
      <c r="G21" s="24"/>
      <c r="H21" s="24"/>
      <c r="I21" s="39"/>
      <c r="J21" s="39"/>
      <c r="L21" s="42" t="s">
        <v>456</v>
      </c>
      <c r="M21" s="43" t="str">
        <f aca="false">IF($U$4=0,"",IF($U$51=1,"✓ erfüllt","✗ nicht erfüllt"))</f>
        <v/>
      </c>
      <c r="N21" s="36" t="str">
        <f aca="false">IF($U$4=0,"",$U$60&amp;" Unterkurse")</f>
        <v/>
      </c>
      <c r="T21" s="15" t="s">
        <v>207</v>
      </c>
      <c r="U21" s="15" t="n">
        <f aca="false">MIN(300,INT((SUM(BU6,BU7,BU8,BU9,BU10))+0.5+0.000000001))</f>
        <v>140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IF(Y21=1,IF(ISNUMBER(E21),1,0),IF(AH21="",0,IF(IF($U$37=1,COUNTIF($AH$6:$AK$25,"&gt;"&amp;AH21),COUNTIF($AM$6:$AP$25,"&gt;"&amp;AH21))+COUNTIF($AH$6:$AK$20,AH21)+1&lt;=$U$47,1,0)))</f>
        <v>0</v>
      </c>
      <c r="AS21" s="15" t="n">
        <f aca="false">IF(Y21=1,IF(ISNUMBER(F21),1,0),IF(AI21="",0,IF(IF($U$37=1,COUNTIF($AH$6:$AK$25,"&gt;"&amp;AI21),COUNTIF($AM$6:$AP$25,"&gt;"&amp;AI21))+COUNTIF($AH$6:$AK$20,AI21)+COUNTIF($AH21:AH21,AI21)+1&lt;=$U$47,1,0)))</f>
        <v>0</v>
      </c>
      <c r="AT21" s="15" t="n">
        <f aca="false">IF(Y21=1,IF(ISNUMBER(G21),1,0),IF(AJ21="",0,IF(IF($U$37=1,COUNTIF($AH$6:$AK$25,"&gt;"&amp;AJ21),COUNTIF($AM$6:$AP$25,"&gt;"&amp;AJ21))+COUNTIF($AH$6:$AK$20,AJ21)+COUNTIF($AH21:AI21,AJ21)+1&lt;=$U$47,1,0)))</f>
        <v>0</v>
      </c>
      <c r="AU21" s="15" t="n">
        <f aca="false">IF(Y21=1,IF(ISNUMBER(H21),1,0),IF(AK21="",0,IF(IF($U$37=1,COUNTIF($AH$6:$AK$25,"&gt;"&amp;AK21),COUNTIF($AM$6:$AP$25,"&gt;"&amp;AK21))+COUNTIF($AH$6:$AK$20,AK21)+COUNTIF($AH21:AJ21,AK21)+1&lt;=$U$47,1,0)))</f>
        <v>0</v>
      </c>
      <c r="BZ21" s="15" t="n">
        <f aca="false">IFERROR(LARGE($AH$6:$AK$25,20),0)</f>
        <v>0</v>
      </c>
      <c r="CA21" s="15" t="n">
        <f aca="false">CA20+BZ21</f>
        <v>0</v>
      </c>
      <c r="CB21" s="15" t="n">
        <f aca="false">IFERROR(LARGE($AM$6:$AP$25,20),0)</f>
        <v>0</v>
      </c>
      <c r="CC21" s="15" t="n">
        <f aca="false">CC20+CB21</f>
        <v>0</v>
      </c>
    </row>
    <row r="22" customFormat="false" ht="15" hidden="false" customHeight="false" outlineLevel="0" collapsed="false">
      <c r="B22" s="36" t="s">
        <v>208</v>
      </c>
      <c r="C22" s="37"/>
      <c r="D22" s="38"/>
      <c r="E22" s="24"/>
      <c r="F22" s="24"/>
      <c r="G22" s="24"/>
      <c r="H22" s="24"/>
      <c r="I22" s="39"/>
      <c r="J22" s="39"/>
      <c r="L22" s="42" t="s">
        <v>209</v>
      </c>
      <c r="M22" s="43" t="str">
        <f aca="false">IF($U$4=0,"",IF($U$55=1,"✓ erfüllt","✗ nicht erfüllt"))</f>
        <v/>
      </c>
      <c r="N22" s="36" t="str">
        <f aca="false">IF($U$4=0,"",$U$12&amp;" mit 0 Punkten")</f>
        <v/>
      </c>
      <c r="T22" s="15" t="s">
        <v>210</v>
      </c>
      <c r="U22" s="15" t="n">
        <f aca="false">SUM(BV6,BV7,BV8,BV9,BV10)</f>
        <v>5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IF(Y22=1,IF(ISNUMBER(E22),1,0),IF(AH22="",0,IF(IF($U$37=1,COUNTIF($AH$6:$AK$25,"&gt;"&amp;AH22),COUNTIF($AM$6:$AP$25,"&gt;"&amp;AH22))+COUNTIF($AH$6:$AK$21,AH22)+1&lt;=$U$47,1,0)))</f>
        <v>0</v>
      </c>
      <c r="AS22" s="15" t="n">
        <f aca="false">IF(Y22=1,IF(ISNUMBER(F22),1,0),IF(AI22="",0,IF(IF($U$37=1,COUNTIF($AH$6:$AK$25,"&gt;"&amp;AI22),COUNTIF($AM$6:$AP$25,"&gt;"&amp;AI22))+COUNTIF($AH$6:$AK$21,AI22)+COUNTIF($AH22:AH22,AI22)+1&lt;=$U$47,1,0)))</f>
        <v>0</v>
      </c>
      <c r="AT22" s="15" t="n">
        <f aca="false">IF(Y22=1,IF(ISNUMBER(G22),1,0),IF(AJ22="",0,IF(IF($U$37=1,COUNTIF($AH$6:$AK$25,"&gt;"&amp;AJ22),COUNTIF($AM$6:$AP$25,"&gt;"&amp;AJ22))+COUNTIF($AH$6:$AK$21,AJ22)+COUNTIF($AH22:AI22,AJ22)+1&lt;=$U$47,1,0)))</f>
        <v>0</v>
      </c>
      <c r="AU22" s="15" t="n">
        <f aca="false">IF(Y22=1,IF(ISNUMBER(H22),1,0),IF(AK22="",0,IF(IF($U$37=1,COUNTIF($AH$6:$AK$25,"&gt;"&amp;AK22),COUNTIF($AM$6:$AP$25,"&gt;"&amp;AK22))+COUNTIF($AH$6:$AK$21,AK22)+COUNTIF($AH22:AJ22,AK22)+1&lt;=$U$47,1,0)))</f>
        <v>0</v>
      </c>
      <c r="BZ22" s="15" t="n">
        <f aca="false">IFERROR(LARGE($AH$6:$AK$25,21),0)</f>
        <v>0</v>
      </c>
      <c r="CA22" s="15" t="n">
        <f aca="false">CA21+BZ22</f>
        <v>0</v>
      </c>
      <c r="CB22" s="15" t="n">
        <f aca="false">IFERROR(LARGE($AM$6:$AP$25,21),0)</f>
        <v>0</v>
      </c>
      <c r="CC22" s="15" t="n">
        <f aca="false">CC21+CB22</f>
        <v>0</v>
      </c>
      <c r="CE22" s="15" t="s">
        <v>79</v>
      </c>
      <c r="CF22" s="15" t="s">
        <v>80</v>
      </c>
      <c r="CG22" s="15" t="s">
        <v>81</v>
      </c>
      <c r="CH22" s="15" t="s">
        <v>82</v>
      </c>
      <c r="CI22" s="15" t="s">
        <v>83</v>
      </c>
      <c r="CJ22" s="15" t="s">
        <v>84</v>
      </c>
      <c r="CK22" s="15" t="s">
        <v>85</v>
      </c>
      <c r="CL22" s="15" t="s">
        <v>86</v>
      </c>
      <c r="CM22" s="15" t="s">
        <v>87</v>
      </c>
      <c r="CN22" s="15" t="s">
        <v>88</v>
      </c>
      <c r="CO22" s="15" t="s">
        <v>89</v>
      </c>
      <c r="CP22" s="15" t="s">
        <v>90</v>
      </c>
      <c r="CQ22" s="15" t="s">
        <v>91</v>
      </c>
      <c r="CR22" s="15" t="s">
        <v>92</v>
      </c>
      <c r="CS22" s="15" t="s">
        <v>93</v>
      </c>
      <c r="CT22" s="15" t="s">
        <v>94</v>
      </c>
      <c r="CU22" s="15" t="s">
        <v>95</v>
      </c>
      <c r="CV22" s="15" t="s">
        <v>96</v>
      </c>
      <c r="CW22" s="15" t="s">
        <v>97</v>
      </c>
      <c r="CX22" s="15" t="s">
        <v>98</v>
      </c>
      <c r="CY22" s="15" t="s">
        <v>99</v>
      </c>
      <c r="CZ22" s="15" t="s">
        <v>100</v>
      </c>
      <c r="DA22" s="15" t="s">
        <v>101</v>
      </c>
      <c r="DB22" s="15" t="s">
        <v>102</v>
      </c>
      <c r="DC22" s="15" t="s">
        <v>103</v>
      </c>
      <c r="DD22" s="15" t="s">
        <v>104</v>
      </c>
      <c r="DE22" s="15" t="s">
        <v>105</v>
      </c>
      <c r="DF22" s="15" t="s">
        <v>106</v>
      </c>
      <c r="DG22" s="15" t="s">
        <v>107</v>
      </c>
      <c r="DH22" s="15" t="s">
        <v>108</v>
      </c>
    </row>
    <row r="23" customFormat="false" ht="22.35" hidden="false" customHeight="false" outlineLevel="0" collapsed="false">
      <c r="B23" s="36" t="s">
        <v>211</v>
      </c>
      <c r="C23" s="37"/>
      <c r="D23" s="38"/>
      <c r="E23" s="24"/>
      <c r="F23" s="24"/>
      <c r="G23" s="24"/>
      <c r="H23" s="24"/>
      <c r="I23" s="39"/>
      <c r="J23" s="39"/>
      <c r="L23" s="42" t="s">
        <v>212</v>
      </c>
      <c r="M23" s="43" t="str">
        <f aca="false">IF($U$4=0,"",IF($U$58=1,"✓ erfüllt","✗ nicht erfüllt"))</f>
        <v/>
      </c>
      <c r="N23" s="36"/>
      <c r="T23" s="15" t="s">
        <v>213</v>
      </c>
      <c r="U23" s="15" t="n">
        <f aca="false">BV6+BV7</f>
        <v>2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IF(Y23=1,IF(ISNUMBER(E23),1,0),IF(AH23="",0,IF(IF($U$37=1,COUNTIF($AH$6:$AK$25,"&gt;"&amp;AH23),COUNTIF($AM$6:$AP$25,"&gt;"&amp;AH23))+COUNTIF($AH$6:$AK$22,AH23)+1&lt;=$U$47,1,0)))</f>
        <v>0</v>
      </c>
      <c r="AS23" s="15" t="n">
        <f aca="false">IF(Y23=1,IF(ISNUMBER(F23),1,0),IF(AI23="",0,IF(IF($U$37=1,COUNTIF($AH$6:$AK$25,"&gt;"&amp;AI23),COUNTIF($AM$6:$AP$25,"&gt;"&amp;AI23))+COUNTIF($AH$6:$AK$22,AI23)+COUNTIF($AH23:AH23,AI23)+1&lt;=$U$47,1,0)))</f>
        <v>0</v>
      </c>
      <c r="AT23" s="15" t="n">
        <f aca="false">IF(Y23=1,IF(ISNUMBER(G23),1,0),IF(AJ23="",0,IF(IF($U$37=1,COUNTIF($AH$6:$AK$25,"&gt;"&amp;AJ23),COUNTIF($AM$6:$AP$25,"&gt;"&amp;AJ23))+COUNTIF($AH$6:$AK$22,AJ23)+COUNTIF($AH23:AI23,AJ23)+1&lt;=$U$47,1,0)))</f>
        <v>0</v>
      </c>
      <c r="AU23" s="15" t="n">
        <f aca="false">IF(Y23=1,IF(ISNUMBER(H23),1,0),IF(AK23="",0,IF(IF($U$37=1,COUNTIF($AH$6:$AK$25,"&gt;"&amp;AK23),COUNTIF($AM$6:$AP$25,"&gt;"&amp;AK23))+COUNTIF($AH$6:$AK$22,AK23)+COUNTIF($AH23:AJ23,AK23)+1&lt;=$U$47,1,0)))</f>
        <v>0</v>
      </c>
      <c r="BZ23" s="15" t="n">
        <f aca="false">IFERROR(LARGE($AH$6:$AK$25,22),0)</f>
        <v>0</v>
      </c>
      <c r="CA23" s="15" t="n">
        <f aca="false">CA22+BZ23</f>
        <v>0</v>
      </c>
      <c r="CB23" s="15" t="n">
        <f aca="false">IFERROR(LARGE($AM$6:$AP$25,22),0)</f>
        <v>0</v>
      </c>
      <c r="CC23" s="15" t="n">
        <f aca="false">CC22+CB23</f>
        <v>0</v>
      </c>
      <c r="CE23" s="15" t="n">
        <f aca="false">40</f>
        <v>40</v>
      </c>
      <c r="CF23" s="15" t="n">
        <f aca="false">CE23-$V$5-$V$6-0</f>
        <v>20</v>
      </c>
      <c r="CG23" s="15" t="n">
        <f aca="false">MAX(0,CF23)</f>
        <v>20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20</v>
      </c>
      <c r="CK23" s="15" t="n">
        <f aca="false">$V$5+CH23+CJ23</f>
        <v>40</v>
      </c>
      <c r="CL23" s="15" t="n">
        <f aca="false">2*BE6+2*BF6+2*BE7+2*BF7</f>
        <v>112</v>
      </c>
      <c r="CM23" s="15" t="n">
        <f aca="false">2*BG6+2*BH6+2*BG7+2*BH7+1*BG8+1*BH8+1*BG9+1*BH9+1*BG10+1*BH10+SUM($AE$12:$AE$25)</f>
        <v>28</v>
      </c>
      <c r="CN23" s="15" t="n">
        <f aca="false">IF(CH23=0,0,INDEX($CC$2:$CC$57,CH23))</f>
        <v>0</v>
      </c>
      <c r="CO23" s="15" t="n">
        <f aca="false">CL23+$V$11+CN23+CJ23*$U$2</f>
        <v>336</v>
      </c>
      <c r="CP23" s="15" t="n">
        <f aca="false">CM23+CH23+CJ23</f>
        <v>48</v>
      </c>
      <c r="CQ23" s="15" t="n">
        <f aca="false">IF(CP23&gt;0,MIN(600,INT((CO23/CP23*40)+0.5+0.000000001)),0)</f>
        <v>280</v>
      </c>
      <c r="CR23" s="15" t="n">
        <f aca="false">$V$9+CT23</f>
        <v>0</v>
      </c>
      <c r="CS23" s="15" t="n">
        <f aca="false">8</f>
        <v>8</v>
      </c>
      <c r="CT23" s="15" t="n">
        <f aca="false">$V$10+MAX(0,CH23-$V$8)+CJ23*IF($U$2&lt;5,1,0)</f>
        <v>0</v>
      </c>
      <c r="CU23" s="15" t="n">
        <f aca="false">$V$11+CN23+CJ23*$U$2</f>
        <v>224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IF($V$9&lt;=4,1,0)</f>
        <v>1</v>
      </c>
      <c r="CY23" s="15" t="n">
        <f aca="false">1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1028060</v>
      </c>
    </row>
    <row r="24" customFormat="false" ht="15" hidden="false" customHeight="false" outlineLevel="0" collapsed="false">
      <c r="B24" s="36" t="s">
        <v>214</v>
      </c>
      <c r="C24" s="37"/>
      <c r="D24" s="38"/>
      <c r="E24" s="24"/>
      <c r="F24" s="24"/>
      <c r="G24" s="24"/>
      <c r="H24" s="24"/>
      <c r="I24" s="39"/>
      <c r="J24" s="39"/>
      <c r="L24" s="42" t="s">
        <v>215</v>
      </c>
      <c r="M24" s="43" t="str">
        <f aca="false">IF($U$4=0,"",IF($U$63=1,"✓ erfüllt","✗ nicht erfüllt"))</f>
        <v/>
      </c>
      <c r="N24" s="36" t="str">
        <f aca="false">IF($U$4=0,"",$U$61&amp;" Punkte")</f>
        <v/>
      </c>
      <c r="T24" s="15" t="s">
        <v>216</v>
      </c>
      <c r="U24" s="15" t="n">
        <f aca="false">BW6+BW7+BW8+BW9+BW10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IF(Y24=1,IF(ISNUMBER(E24),1,0),IF(AH24="",0,IF(IF($U$37=1,COUNTIF($AH$6:$AK$25,"&gt;"&amp;AH24),COUNTIF($AM$6:$AP$25,"&gt;"&amp;AH24))+COUNTIF($AH$6:$AK$23,AH24)+1&lt;=$U$47,1,0)))</f>
        <v>0</v>
      </c>
      <c r="AS24" s="15" t="n">
        <f aca="false">IF(Y24=1,IF(ISNUMBER(F24),1,0),IF(AI24="",0,IF(IF($U$37=1,COUNTIF($AH$6:$AK$25,"&gt;"&amp;AI24),COUNTIF($AM$6:$AP$25,"&gt;"&amp;AI24))+COUNTIF($AH$6:$AK$23,AI24)+COUNTIF($AH24:AH24,AI24)+1&lt;=$U$47,1,0)))</f>
        <v>0</v>
      </c>
      <c r="AT24" s="15" t="n">
        <f aca="false">IF(Y24=1,IF(ISNUMBER(G24),1,0),IF(AJ24="",0,IF(IF($U$37=1,COUNTIF($AH$6:$AK$25,"&gt;"&amp;AJ24),COUNTIF($AM$6:$AP$25,"&gt;"&amp;AJ24))+COUNTIF($AH$6:$AK$23,AJ24)+COUNTIF($AH24:AI24,AJ24)+1&lt;=$U$47,1,0)))</f>
        <v>0</v>
      </c>
      <c r="AU24" s="15" t="n">
        <f aca="false">IF(Y24=1,IF(ISNUMBER(H24),1,0),IF(AK24="",0,IF(IF($U$37=1,COUNTIF($AH$6:$AK$25,"&gt;"&amp;AK24),COUNTIF($AM$6:$AP$25,"&gt;"&amp;AK24))+COUNTIF($AH$6:$AK$23,AK24)+COUNTIF($AH24:AJ24,AK24)+1&lt;=$U$47,1,0)))</f>
        <v>0</v>
      </c>
      <c r="BZ24" s="15" t="n">
        <f aca="false">IFERROR(LARGE($AH$6:$AK$25,23),0)</f>
        <v>0</v>
      </c>
      <c r="CA24" s="15" t="n">
        <f aca="false">CA23+BZ24</f>
        <v>0</v>
      </c>
      <c r="CB24" s="15" t="n">
        <f aca="false">IFERROR(LARGE($AM$6:$AP$25,23),0)</f>
        <v>0</v>
      </c>
      <c r="CC24" s="15" t="n">
        <f aca="false">CC23+CB24</f>
        <v>0</v>
      </c>
    </row>
    <row r="25" customFormat="false" ht="22.35" hidden="false" customHeight="false" outlineLevel="0" collapsed="false">
      <c r="B25" s="36" t="s">
        <v>217</v>
      </c>
      <c r="C25" s="37"/>
      <c r="D25" s="38"/>
      <c r="E25" s="24"/>
      <c r="F25" s="24"/>
      <c r="G25" s="24"/>
      <c r="H25" s="24"/>
      <c r="I25" s="39"/>
      <c r="J25" s="39"/>
      <c r="L25" s="42" t="str">
        <f aca="false">"In mindestens "&amp;$U$26&amp;" Prüfungen mindestens 5 Punkte (einfach), davon eine im 1./2. Prüfungsfach"</f>
        <v>In mindestens 3 Prüfungen mindestens 5 Punkte (einfach), davon eine im 1./2. Prüfungsfach</v>
      </c>
      <c r="M25" s="43" t="str">
        <f aca="false">IF($U$4=0,"",IF($U$64=1,"✓ erfüllt","✗ nicht erfüllt"))</f>
        <v/>
      </c>
      <c r="N25" s="36" t="str">
        <f aca="false">IF($U$4=0,"",$U$62&amp;" Prüfungen")</f>
        <v/>
      </c>
      <c r="T25" s="15" t="s">
        <v>218</v>
      </c>
      <c r="U25" s="15" t="n">
        <f aca="false">BX6+BX7+BX8+BX9+BX10</f>
        <v>0</v>
      </c>
      <c r="X25" s="15" t="n">
        <f aca="false">IF(OR(LEN(TRIM(C25))&gt;0,COUNT(E25:H25)&gt;0),1,0)</f>
        <v>0</v>
      </c>
      <c r="Y25" s="15" t="n">
        <f aca="false">IF(LEN(TRIM(D25))&gt;0,1,0)</f>
        <v>0</v>
      </c>
      <c r="Z25" s="15" t="n">
        <f aca="false">Y25*SUM(E25:H25)</f>
        <v>0</v>
      </c>
      <c r="AA25" s="15" t="n">
        <f aca="false">Y25*COUNT(E25:H25)</f>
        <v>0</v>
      </c>
      <c r="AB25" s="15" t="n">
        <f aca="false">Y25*COUNTIF(E25:H25,"&lt;5")</f>
        <v>0</v>
      </c>
      <c r="AC25" s="15" t="n">
        <f aca="false">Y25*COUNTIF(E25:H25,0)</f>
        <v>0</v>
      </c>
      <c r="AD25" s="15" t="n">
        <f aca="false">Y25*(SUM(E25:H25)+X25*$U$2*(4-COUNT(E25:H25)))</f>
        <v>0</v>
      </c>
      <c r="AE25" s="15" t="n">
        <f aca="false">Y25*(COUNT(E25:H25)+X25*(4-COUNT(E25:H25)))</f>
        <v>0</v>
      </c>
      <c r="AF25" s="15" t="n">
        <f aca="false">Y25*(COUNTIF(E25:H25,"&lt;5")+X25*IF($U$2&lt;5,1,0)*(4-COUNT(E25:H25)))</f>
        <v>0</v>
      </c>
      <c r="AH25" s="15" t="str">
        <f aca="false">IF(Y25=1,"",IF(ISNUMBER(E25),IF(E25=0,"",E25),""))</f>
        <v/>
      </c>
      <c r="AI25" s="15" t="str">
        <f aca="false">IF(Y25=1,"",IF(ISNUMBER(F25),IF(F25=0,"",F25),""))</f>
        <v/>
      </c>
      <c r="AJ25" s="15" t="str">
        <f aca="false">IF(Y25=1,"",IF(ISNUMBER(G25),IF(G25=0,"",G25),""))</f>
        <v/>
      </c>
      <c r="AK25" s="15" t="str">
        <f aca="false">IF(Y25=1,"",IF(ISNUMBER(H25),IF(H25=0,"",H25),""))</f>
        <v/>
      </c>
      <c r="AM25" s="15" t="str">
        <f aca="false">IF(Y25=1,"",IF(ISNUMBER(E25),IF(E25=0,"",E25),IF(X25=1,$U$2,"")))</f>
        <v/>
      </c>
      <c r="AN25" s="15" t="str">
        <f aca="false">IF(Y25=1,"",IF(ISNUMBER(F25),IF(F25=0,"",F25),IF(X25=1,$U$2,"")))</f>
        <v/>
      </c>
      <c r="AO25" s="15" t="str">
        <f aca="false">IF(Y25=1,"",IF(ISNUMBER(G25),IF(G25=0,"",G25),IF(X25=1,$U$2,"")))</f>
        <v/>
      </c>
      <c r="AP25" s="15" t="str">
        <f aca="false">IF(Y25=1,"",IF(ISNUMBER(H25),IF(H25=0,"",H25),IF(X25=1,$U$2,"")))</f>
        <v/>
      </c>
      <c r="AR25" s="15" t="n">
        <f aca="false">IF(Y25=1,IF(ISNUMBER(E25),1,0),IF(AH25="",0,IF(IF($U$37=1,COUNTIF($AH$6:$AK$25,"&gt;"&amp;AH25),COUNTIF($AM$6:$AP$25,"&gt;"&amp;AH25))+COUNTIF($AH$6:$AK$24,AH25)+1&lt;=$U$47,1,0)))</f>
        <v>0</v>
      </c>
      <c r="AS25" s="15" t="n">
        <f aca="false">IF(Y25=1,IF(ISNUMBER(F25),1,0),IF(AI25="",0,IF(IF($U$37=1,COUNTIF($AH$6:$AK$25,"&gt;"&amp;AI25),COUNTIF($AM$6:$AP$25,"&gt;"&amp;AI25))+COUNTIF($AH$6:$AK$24,AI25)+COUNTIF($AH25:AH25,AI25)+1&lt;=$U$47,1,0)))</f>
        <v>0</v>
      </c>
      <c r="AT25" s="15" t="n">
        <f aca="false">IF(Y25=1,IF(ISNUMBER(G25),1,0),IF(AJ25="",0,IF(IF($U$37=1,COUNTIF($AH$6:$AK$25,"&gt;"&amp;AJ25),COUNTIF($AM$6:$AP$25,"&gt;"&amp;AJ25))+COUNTIF($AH$6:$AK$24,AJ25)+COUNTIF($AH25:AI25,AJ25)+1&lt;=$U$47,1,0)))</f>
        <v>0</v>
      </c>
      <c r="AU25" s="15" t="n">
        <f aca="false">IF(Y25=1,IF(ISNUMBER(H25),1,0),IF(AK25="",0,IF(IF($U$37=1,COUNTIF($AH$6:$AK$25,"&gt;"&amp;AK25),COUNTIF($AM$6:$AP$25,"&gt;"&amp;AK25))+COUNTIF($AH$6:$AK$24,AK25)+COUNTIF($AH25:AJ25,AK25)+1&lt;=$U$47,1,0)))</f>
        <v>0</v>
      </c>
      <c r="BZ25" s="15" t="n">
        <f aca="false">IFERROR(LARGE($AH$6:$AK$25,24),0)</f>
        <v>0</v>
      </c>
      <c r="CA25" s="15" t="n">
        <f aca="false">CA24+BZ25</f>
        <v>0</v>
      </c>
      <c r="CB25" s="15" t="n">
        <f aca="false">IFERROR(LARGE($AM$6:$AP$25,24),0)</f>
        <v>0</v>
      </c>
      <c r="CC25" s="15" t="n">
        <f aca="false">CC24+CB25</f>
        <v>0</v>
      </c>
    </row>
    <row r="26" customFormat="false" ht="15" hidden="false" customHeight="false" outlineLevel="0" collapsed="false">
      <c r="L26" s="42" t="s">
        <v>340</v>
      </c>
      <c r="M26" s="43" t="str">
        <f aca="false">IF($U$4=0,"",IF($U$65=1,"✓ erfüllt","✗ nicht erfüllt"))</f>
        <v/>
      </c>
      <c r="N26" s="36"/>
      <c r="T26" s="15" t="s">
        <v>220</v>
      </c>
      <c r="U26" s="15" t="n">
        <f aca="false">3</f>
        <v>3</v>
      </c>
      <c r="BZ26" s="15" t="n">
        <f aca="false">IFERROR(LARGE($AH$6:$AK$25,25),0)</f>
        <v>0</v>
      </c>
      <c r="CA26" s="15" t="n">
        <f aca="false">CA25+BZ26</f>
        <v>0</v>
      </c>
      <c r="CB26" s="15" t="n">
        <f aca="false">IFERROR(LARGE($AM$6:$AP$25,25),0)</f>
        <v>0</v>
      </c>
      <c r="CC26" s="15" t="n">
        <f aca="false">CC25+CB26</f>
        <v>0</v>
      </c>
    </row>
    <row r="27" customFormat="false" ht="15" hidden="false" customHeight="false" outlineLevel="0" collapsed="false">
      <c r="L27" s="42" t="s">
        <v>221</v>
      </c>
      <c r="M27" s="43" t="str">
        <f aca="false">IF($U$4=0,"",IF($U$68=1,"✓ erfüllt","✗ nicht erfüllt"))</f>
        <v/>
      </c>
      <c r="N27" s="36" t="str">
        <f aca="false">IF($U$4=0,"",$U$67&amp;" Punkte")</f>
        <v/>
      </c>
      <c r="T27" s="15" t="s">
        <v>222</v>
      </c>
      <c r="U27" s="15" t="n">
        <f aca="false">IF(ISNUMBER($I$6),0,1)+IF(ISNUMBER($I$7),0,1)+IF(ISNUMBER($I$8),0,1)+IF(ISNUMBER($I$9),0,1)+IF(ISNUMBER($I$10),0,1)</f>
        <v>5</v>
      </c>
      <c r="BZ27" s="15" t="n">
        <f aca="false">IFERROR(LARGE($AH$6:$AK$25,26),0)</f>
        <v>0</v>
      </c>
      <c r="CA27" s="15" t="n">
        <f aca="false">CA26+BZ27</f>
        <v>0</v>
      </c>
      <c r="CB27" s="15" t="n">
        <f aca="false">IFERROR(LARGE($AM$6:$AP$25,26),0)</f>
        <v>0</v>
      </c>
      <c r="CC27" s="15" t="n">
        <f aca="false">CC26+CB27</f>
        <v>0</v>
      </c>
    </row>
    <row r="28" customFormat="false" ht="15" hidden="false" customHeight="false" outlineLevel="0" collapsed="false">
      <c r="B28" s="5" t="s">
        <v>457</v>
      </c>
      <c r="T28" s="15" t="s">
        <v>224</v>
      </c>
      <c r="U28" s="15" t="n">
        <f aca="false">IF($U$16&gt;=100,1,0)</f>
        <v>0</v>
      </c>
      <c r="BZ28" s="15" t="n">
        <f aca="false">IFERROR(LARGE($AH$6:$AK$25,27),0)</f>
        <v>0</v>
      </c>
      <c r="CA28" s="15" t="n">
        <f aca="false">CA27+BZ28</f>
        <v>0</v>
      </c>
      <c r="CB28" s="15" t="n">
        <f aca="false">IFERROR(LARGE($AM$6:$AP$25,27),0)</f>
        <v>0</v>
      </c>
      <c r="CC28" s="15" t="n">
        <f aca="false">CC27+CB28</f>
        <v>0</v>
      </c>
    </row>
    <row r="29" customFormat="false" ht="15" hidden="false" customHeight="false" outlineLevel="0" collapsed="false">
      <c r="B29" s="12" t="s">
        <v>458</v>
      </c>
      <c r="L29" s="44" t="s">
        <v>226</v>
      </c>
      <c r="T29" s="15" t="s">
        <v>227</v>
      </c>
      <c r="U29" s="15" t="n">
        <f aca="false">IF(AND($U$17&gt;=$U$26,$U$18&gt;=1),1,0)</f>
        <v>0</v>
      </c>
      <c r="BZ29" s="15" t="n">
        <f aca="false">IFERROR(LARGE($AH$6:$AK$25,28),0)</f>
        <v>0</v>
      </c>
      <c r="CA29" s="15" t="n">
        <f aca="false">CA28+BZ29</f>
        <v>0</v>
      </c>
      <c r="CB29" s="15" t="n">
        <f aca="false">IFERROR(LARGE($AM$6:$AP$25,28),0)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">
        <v>459</v>
      </c>
      <c r="L30" s="8" t="s">
        <v>229</v>
      </c>
      <c r="T30" s="15" t="s">
        <v>230</v>
      </c>
      <c r="U30" s="15" t="n">
        <f aca="false">IF($U$19=0,1,0)</f>
        <v>1</v>
      </c>
      <c r="BZ30" s="15" t="n">
        <f aca="false">IFERROR(LARGE($AH$6:$AK$25,29),0)</f>
        <v>0</v>
      </c>
      <c r="CA30" s="15" t="n">
        <f aca="false">CA29+BZ30</f>
        <v>0</v>
      </c>
      <c r="CB30" s="15" t="n">
        <f aca="false">IFERROR(LARGE($AM$6:$AP$25,29),0)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460</v>
      </c>
      <c r="L31" s="45" t="s">
        <v>232</v>
      </c>
      <c r="T31" s="15" t="s">
        <v>233</v>
      </c>
      <c r="U31" s="15" t="n">
        <f aca="false">$U$28*$U$29*$U$30</f>
        <v>0</v>
      </c>
      <c r="BZ31" s="15" t="n">
        <f aca="false">IFERROR(LARGE($AH$6:$AK$25,30),0)</f>
        <v>0</v>
      </c>
      <c r="CA31" s="15" t="n">
        <f aca="false">CA30+BZ31</f>
        <v>0</v>
      </c>
      <c r="CB31" s="15" t="n">
        <f aca="false">IFERROR(LARGE($AM$6:$AP$25,30),0)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461</v>
      </c>
      <c r="L32" s="46" t="s">
        <v>235</v>
      </c>
      <c r="T32" s="15" t="s">
        <v>236</v>
      </c>
      <c r="U32" s="15" t="n">
        <f aca="false">IF($U$21&gt;=100,1,0)</f>
        <v>1</v>
      </c>
      <c r="BZ32" s="15" t="n">
        <f aca="false">IFERROR(LARGE($AH$6:$AK$25,31),0)</f>
        <v>0</v>
      </c>
      <c r="CA32" s="15" t="n">
        <f aca="false">CA31+BZ32</f>
        <v>0</v>
      </c>
      <c r="CB32" s="15" t="n">
        <f aca="false">IFERROR(LARGE($AM$6:$AP$25,31),0)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462</v>
      </c>
      <c r="L33" s="47" t="s">
        <v>238</v>
      </c>
      <c r="T33" s="15" t="s">
        <v>239</v>
      </c>
      <c r="U33" s="15" t="n">
        <f aca="false">IF(AND($U$22&gt;=$U$26,$U$23&gt;=1),1,0)</f>
        <v>1</v>
      </c>
      <c r="BZ33" s="15" t="n">
        <f aca="false">IFERROR(LARGE($AH$6:$AK$25,32),0)</f>
        <v>0</v>
      </c>
      <c r="CA33" s="15" t="n">
        <f aca="false">CA32+BZ33</f>
        <v>0</v>
      </c>
      <c r="CB33" s="15" t="n">
        <f aca="false">IFERROR(LARGE($AM$6:$AP$25,32),0)</f>
        <v>0</v>
      </c>
      <c r="CC33" s="15" t="n">
        <f aca="false">CC32+CB33</f>
        <v>0</v>
      </c>
    </row>
    <row r="34" customFormat="false" ht="15" hidden="false" customHeight="false" outlineLevel="0" collapsed="false">
      <c r="T34" s="15" t="s">
        <v>240</v>
      </c>
      <c r="U34" s="15" t="n">
        <f aca="false">IF($U$24=0,1,0)</f>
        <v>1</v>
      </c>
      <c r="BZ34" s="15" t="n">
        <f aca="false">IFERROR(LARGE($AH$6:$AK$25,33),0)</f>
        <v>0</v>
      </c>
      <c r="CA34" s="15" t="n">
        <f aca="false">CA33+BZ34</f>
        <v>0</v>
      </c>
      <c r="CB34" s="15" t="n">
        <f aca="false">IFERROR(LARGE($AM$6:$AP$25,33),0)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8" t="s">
        <v>463</v>
      </c>
      <c r="L35" s="48" t="s">
        <v>242</v>
      </c>
      <c r="T35" s="15" t="s">
        <v>243</v>
      </c>
      <c r="U35" s="15" t="n">
        <f aca="false">$U$32*$U$33*$U$34</f>
        <v>1</v>
      </c>
      <c r="BZ35" s="15" t="n">
        <f aca="false">IFERROR(LARGE($AH$6:$AK$25,34),0)</f>
        <v>0</v>
      </c>
      <c r="CA35" s="15" t="n">
        <f aca="false">CA34+BZ35</f>
        <v>0</v>
      </c>
      <c r="CB35" s="15" t="n">
        <f aca="false">IFERROR(LARGE($AM$6:$AP$25,34),0)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49" t="s">
        <v>464</v>
      </c>
      <c r="L36" s="48" t="s">
        <v>245</v>
      </c>
      <c r="T36" s="15" t="s">
        <v>246</v>
      </c>
      <c r="U36" s="15" t="n">
        <f aca="false">INDEX($DG$3:$DG$3,$U$13)+$U$27</f>
        <v>45</v>
      </c>
      <c r="BZ36" s="15" t="n">
        <f aca="false">IFERROR(LARGE($AH$6:$AK$25,35),0)</f>
        <v>0</v>
      </c>
      <c r="CA36" s="15" t="n">
        <f aca="false">CA35+BZ36</f>
        <v>0</v>
      </c>
      <c r="CB36" s="15" t="n">
        <f aca="false">IFERROR(LARGE($AM$6:$AP$25,35),0)</f>
        <v>0</v>
      </c>
      <c r="CC36" s="15" t="n">
        <f aca="false">CC35+CB36</f>
        <v>0</v>
      </c>
    </row>
    <row r="37" customFormat="false" ht="15" hidden="false" customHeight="false" outlineLevel="0" collapsed="false">
      <c r="T37" s="15" t="s">
        <v>247</v>
      </c>
      <c r="U37" s="15" t="n">
        <f aca="false">IF($U$36=0,1,0)</f>
        <v>0</v>
      </c>
      <c r="BZ37" s="15" t="n">
        <f aca="false">IFERROR(LARGE($AH$6:$AK$25,36),0)</f>
        <v>0</v>
      </c>
      <c r="CA37" s="15" t="n">
        <f aca="false">CA36+BZ37</f>
        <v>0</v>
      </c>
      <c r="CB37" s="15" t="n">
        <f aca="false">IFERROR(LARGE($AM$6:$AP$25,36),0)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0" t="s">
        <v>465</v>
      </c>
      <c r="T38" s="15" t="s">
        <v>249</v>
      </c>
      <c r="U38" s="15" t="n">
        <f aca="false">IF($U$37=1,INDEX($CQ$3:$CQ$3,$U$13),INDEX($CQ$23:$CQ$23,$U$14))</f>
        <v>280</v>
      </c>
      <c r="BZ38" s="15" t="n">
        <f aca="false">IFERROR(LARGE($AH$6:$AK$25,37),0)</f>
        <v>0</v>
      </c>
      <c r="CA38" s="15" t="n">
        <f aca="false">CA37+BZ38</f>
        <v>0</v>
      </c>
      <c r="CB38" s="15" t="n">
        <f aca="false">IFERROR(LARGE($AM$6:$AP$25,37),0)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1" t="s">
        <v>250</v>
      </c>
      <c r="T39" s="15" t="s">
        <v>251</v>
      </c>
      <c r="U39" s="15" t="n">
        <f aca="false">IF($U$37=1,INDEX($CK$3:$CK$3,$U$13),INDEX($CK$23:$CK$23,$U$14))</f>
        <v>40</v>
      </c>
      <c r="BZ39" s="15" t="n">
        <f aca="false">IFERROR(LARGE($AH$6:$AK$25,38),0)</f>
        <v>0</v>
      </c>
      <c r="CA39" s="15" t="n">
        <f aca="false">CA38+BZ39</f>
        <v>0</v>
      </c>
      <c r="CB39" s="15" t="n">
        <f aca="false">IFERROR(LARGE($AM$6:$AP$25,38),0)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252</v>
      </c>
      <c r="U40" s="15" t="n">
        <f aca="false">IF($U$37=1,INDEX($CR$3:$CR$3,$U$13),INDEX($CR$23:$CR$23,$U$14))</f>
        <v>0</v>
      </c>
      <c r="BZ40" s="15" t="n">
        <f aca="false">IFERROR(LARGE($AH$6:$AK$25,39),0)</f>
        <v>0</v>
      </c>
      <c r="CA40" s="15" t="n">
        <f aca="false">CA39+BZ40</f>
        <v>0</v>
      </c>
      <c r="CB40" s="15" t="n">
        <f aca="false">IFERROR(LARGE($AM$6:$AP$25,39),0)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253</v>
      </c>
      <c r="U41" s="15" t="n">
        <f aca="false">IF($U$37=1,INDEX($CS$3:$CS$3,$U$13),INDEX($CS$23:$CS$23,$U$14))</f>
        <v>8</v>
      </c>
      <c r="BZ41" s="15" t="n">
        <f aca="false">IFERROR(LARGE($AH$6:$AK$25,40),0)</f>
        <v>0</v>
      </c>
      <c r="CA41" s="15" t="n">
        <f aca="false">CA40+BZ41</f>
        <v>0</v>
      </c>
      <c r="CB41" s="15" t="n">
        <f aca="false">IFERROR(LARGE($AM$6:$AP$25,40),0)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254</v>
      </c>
      <c r="U42" s="15" t="n">
        <f aca="false">IF($U$37=1,INDEX($CT$3:$CT$3,$U$13),INDEX($CT$23:$CT$23,$U$14))</f>
        <v>0</v>
      </c>
      <c r="BZ42" s="15" t="n">
        <f aca="false">IFERROR(LARGE($AH$6:$AK$25,41),0)</f>
        <v>0</v>
      </c>
      <c r="CA42" s="15" t="n">
        <f aca="false">CA41+BZ42</f>
        <v>0</v>
      </c>
      <c r="CB42" s="15" t="n">
        <f aca="false">IFERROR(LARGE($AM$6:$AP$25,41),0)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255</v>
      </c>
      <c r="U43" s="15" t="n">
        <f aca="false">IF($U$37=1,INDEX($CL$3:$CL$3,$U$13),INDEX($CL$23:$CL$23,$U$14))</f>
        <v>112</v>
      </c>
      <c r="BZ43" s="15" t="n">
        <f aca="false">IFERROR(LARGE($AH$6:$AK$25,42),0)</f>
        <v>0</v>
      </c>
      <c r="CA43" s="15" t="n">
        <f aca="false">CA42+BZ43</f>
        <v>0</v>
      </c>
      <c r="CB43" s="15" t="n">
        <f aca="false">IFERROR(LARGE($AM$6:$AP$25,42),0)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256</v>
      </c>
      <c r="U44" s="15" t="n">
        <f aca="false">IF($U$37=1,INDEX($CU$3:$CU$3,$U$13),INDEX($CU$23:$CU$23,$U$14))</f>
        <v>224</v>
      </c>
      <c r="BZ44" s="15" t="n">
        <f aca="false">IFERROR(LARGE($AH$6:$AK$25,43),0)</f>
        <v>0</v>
      </c>
      <c r="CA44" s="15" t="n">
        <f aca="false">CA43+BZ44</f>
        <v>0</v>
      </c>
      <c r="CB44" s="15" t="n">
        <f aca="false">IFERROR(LARGE($AM$6:$AP$25,43),0)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257</v>
      </c>
      <c r="U45" s="15" t="n">
        <f aca="false">IF($U$37=1,INDEX($CP$3:$CP$3,$U$13),INDEX($CP$23:$CP$23,$U$14))</f>
        <v>48</v>
      </c>
      <c r="BZ45" s="15" t="n">
        <f aca="false">IFERROR(LARGE($AH$6:$AK$25,44),0)</f>
        <v>0</v>
      </c>
      <c r="CA45" s="15" t="n">
        <f aca="false">CA44+BZ45</f>
        <v>0</v>
      </c>
      <c r="CB45" s="15" t="n">
        <f aca="false">IFERROR(LARGE($AM$6:$AP$25,44),0)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258</v>
      </c>
      <c r="U46" s="15" t="n">
        <f aca="false">IF($U$37=1,INDEX($CO$3:$CO$3,$U$13),INDEX($CO$23:$CO$23,$U$14))</f>
        <v>336</v>
      </c>
      <c r="BZ46" s="15" t="n">
        <f aca="false">IFERROR(LARGE($AH$6:$AK$25,45),0)</f>
        <v>0</v>
      </c>
      <c r="CA46" s="15" t="n">
        <f aca="false">CA45+BZ46</f>
        <v>0</v>
      </c>
      <c r="CB46" s="15" t="n">
        <f aca="false">IFERROR(LARGE($AM$6:$AP$25,45),0)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259</v>
      </c>
      <c r="U47" s="15" t="n">
        <f aca="false">IF($U$37=1,INDEX($CH$3:$CH$3,$U$13),INDEX($CH$23:$CH$23,$U$14))</f>
        <v>0</v>
      </c>
      <c r="BZ47" s="15" t="n">
        <f aca="false">IFERROR(LARGE($AH$6:$AK$25,46),0)</f>
        <v>0</v>
      </c>
      <c r="CA47" s="15" t="n">
        <f aca="false">CA46+BZ47</f>
        <v>0</v>
      </c>
      <c r="CB47" s="15" t="n">
        <f aca="false">IFERROR(LARGE($AM$6:$AP$25,46),0)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260</v>
      </c>
      <c r="U48" s="15" t="n">
        <f aca="false">IF($U$37=1,INDEX($DF$3:$DF$3,$U$13),INDEX($DF$23:$DF$23,$U$14))</f>
        <v>1</v>
      </c>
      <c r="BZ48" s="15" t="n">
        <f aca="false">IFERROR(LARGE($AH$6:$AK$25,47),0)</f>
        <v>0</v>
      </c>
      <c r="CA48" s="15" t="n">
        <f aca="false">CA47+BZ48</f>
        <v>0</v>
      </c>
      <c r="CB48" s="15" t="n">
        <f aca="false">IFERROR(LARGE($AM$6:$AP$25,47),0)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261</v>
      </c>
      <c r="U49" s="15" t="n">
        <f aca="false">IF($U$37=1,INDEX($CV$3:$CV$3,$U$13),INDEX($CV$23:$CV$23,$U$14))</f>
        <v>1</v>
      </c>
      <c r="BZ49" s="15" t="n">
        <f aca="false">IFERROR(LARGE($AH$6:$AK$25,48),0)</f>
        <v>0</v>
      </c>
      <c r="CA49" s="15" t="n">
        <f aca="false">CA48+BZ49</f>
        <v>0</v>
      </c>
      <c r="CB49" s="15" t="n">
        <f aca="false">IFERROR(LARGE($AM$6:$AP$25,48),0)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262</v>
      </c>
      <c r="U50" s="15" t="n">
        <f aca="false">IF($U$37=1,INDEX($CW$3:$CW$3,$U$13),INDEX($CW$23:$CW$23,$U$14))</f>
        <v>1</v>
      </c>
      <c r="BZ50" s="15" t="n">
        <f aca="false">IFERROR(LARGE($AH$6:$AK$25,49),0)</f>
        <v>0</v>
      </c>
      <c r="CA50" s="15" t="n">
        <f aca="false">CA49+BZ50</f>
        <v>0</v>
      </c>
      <c r="CB50" s="15" t="n">
        <f aca="false">IFERROR(LARGE($AM$6:$AP$25,49),0)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263</v>
      </c>
      <c r="U51" s="15" t="n">
        <f aca="false">IF($U$37=1,INDEX($CX$3:$CX$3,$U$13),INDEX($CX$23:$CX$23,$U$14))</f>
        <v>1</v>
      </c>
      <c r="BZ51" s="15" t="n">
        <f aca="false">IFERROR(LARGE($AH$6:$AK$25,50),0)</f>
        <v>0</v>
      </c>
      <c r="CA51" s="15" t="n">
        <f aca="false">CA50+BZ51</f>
        <v>0</v>
      </c>
      <c r="CB51" s="15" t="n">
        <f aca="false">IFERROR(LARGE($AM$6:$AP$25,50),0)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264</v>
      </c>
      <c r="U52" s="15" t="n">
        <f aca="false">IF($U$37=1,INDEX($CY$3:$CY$3,$U$13),INDEX($CY$23:$CY$23,$U$14))</f>
        <v>1</v>
      </c>
      <c r="BZ52" s="15" t="n">
        <f aca="false">IFERROR(LARGE($AH$6:$AK$25,51),0)</f>
        <v>0</v>
      </c>
      <c r="CA52" s="15" t="n">
        <f aca="false">CA51+BZ52</f>
        <v>0</v>
      </c>
      <c r="CB52" s="15" t="n">
        <f aca="false">IFERROR(LARGE($AM$6:$AP$25,51),0)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265</v>
      </c>
      <c r="U53" s="15" t="n">
        <f aca="false">IF($U$37=1,INDEX($CZ$3:$CZ$3,$U$13),INDEX($CZ$23:$CZ$23,$U$14))</f>
        <v>1</v>
      </c>
      <c r="BZ53" s="15" t="n">
        <f aca="false">IFERROR(LARGE($AH$6:$AK$25,52),0)</f>
        <v>0</v>
      </c>
      <c r="CA53" s="15" t="n">
        <f aca="false">CA52+BZ53</f>
        <v>0</v>
      </c>
      <c r="CB53" s="15" t="n">
        <f aca="false">IFERROR(LARGE($AM$6:$AP$25,52),0)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266</v>
      </c>
      <c r="U54" s="15" t="n">
        <f aca="false">IF($U$37=1,INDEX($DA$3:$DA$3,$U$13),INDEX($DA$23:$DA$23,$U$14))</f>
        <v>1</v>
      </c>
      <c r="BZ54" s="15" t="n">
        <f aca="false">IFERROR(LARGE($AH$6:$AK$25,53),0)</f>
        <v>0</v>
      </c>
      <c r="CA54" s="15" t="n">
        <f aca="false">CA53+BZ54</f>
        <v>0</v>
      </c>
      <c r="CB54" s="15" t="n">
        <f aca="false">IFERROR(LARGE($AM$6:$AP$25,53),0)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267</v>
      </c>
      <c r="U55" s="15" t="n">
        <f aca="false">IF($U$37=1,INDEX($DB$3:$DB$3,$U$13),INDEX($DB$23:$DB$23,$U$14))</f>
        <v>1</v>
      </c>
      <c r="BZ55" s="15" t="n">
        <f aca="false">IFERROR(LARGE($AH$6:$AK$25,54),0)</f>
        <v>0</v>
      </c>
      <c r="CA55" s="15" t="n">
        <f aca="false">CA54+BZ55</f>
        <v>0</v>
      </c>
      <c r="CB55" s="15" t="n">
        <f aca="false">IFERROR(LARGE($AM$6:$AP$25,54),0)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268</v>
      </c>
      <c r="U56" s="15" t="n">
        <f aca="false">IF($U$37=1,INDEX($DC$3:$DC$3,$U$13),INDEX($DC$23:$DC$23,$U$14))</f>
        <v>1</v>
      </c>
      <c r="BZ56" s="15" t="n">
        <f aca="false">IFERROR(LARGE($AH$6:$AK$25,55),0)</f>
        <v>0</v>
      </c>
      <c r="CA56" s="15" t="n">
        <f aca="false">CA55+BZ56</f>
        <v>0</v>
      </c>
      <c r="CB56" s="15" t="n">
        <f aca="false">IFERROR(LARGE($AM$6:$AP$25,55),0)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269</v>
      </c>
      <c r="U57" s="15" t="n">
        <f aca="false">IF($U$37=1,INDEX($DD$3:$DD$3,$U$13),INDEX($DD$23:$DD$23,$U$14))</f>
        <v>1</v>
      </c>
      <c r="BZ57" s="15" t="n">
        <f aca="false">IFERROR(LARGE($AH$6:$AK$25,56),0)</f>
        <v>0</v>
      </c>
      <c r="CA57" s="15" t="n">
        <f aca="false">CA56+BZ57</f>
        <v>0</v>
      </c>
      <c r="CB57" s="15" t="n">
        <f aca="false">IFERROR(LARGE($AM$6:$AP$25,56),0)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270</v>
      </c>
      <c r="U58" s="15" t="n">
        <f aca="false">IF($U$37=1,INDEX($DE$3:$DE$3,$U$13),INDEX($DE$23:$DE$23,$U$14))</f>
        <v>1</v>
      </c>
    </row>
    <row r="59" customFormat="false" ht="15" hidden="false" customHeight="false" outlineLevel="0" collapsed="false">
      <c r="T59" s="15" t="s">
        <v>271</v>
      </c>
      <c r="U59" s="15" t="n">
        <f aca="false">IF($U$37=1,$U$13,$U$14)</f>
        <v>1</v>
      </c>
    </row>
    <row r="60" customFormat="false" ht="15" hidden="false" customHeight="false" outlineLevel="0" collapsed="false">
      <c r="T60" s="15" t="s">
        <v>272</v>
      </c>
      <c r="U60" s="15" t="n">
        <f aca="false">IF($U$37=1,$U$9,$V$9)</f>
        <v>0</v>
      </c>
    </row>
    <row r="61" customFormat="false" ht="15" hidden="false" customHeight="false" outlineLevel="0" collapsed="false">
      <c r="T61" s="15" t="s">
        <v>273</v>
      </c>
      <c r="U61" s="15" t="n">
        <f aca="false">IF($U$37=1,$U$16,$U$21)</f>
        <v>140</v>
      </c>
    </row>
    <row r="62" customFormat="false" ht="15" hidden="false" customHeight="false" outlineLevel="0" collapsed="false">
      <c r="T62" s="15" t="s">
        <v>274</v>
      </c>
      <c r="U62" s="15" t="n">
        <f aca="false">IF($U$37=1,$U$17,$U$22)</f>
        <v>5</v>
      </c>
    </row>
    <row r="63" customFormat="false" ht="15" hidden="false" customHeight="false" outlineLevel="0" collapsed="false">
      <c r="T63" s="15" t="s">
        <v>275</v>
      </c>
      <c r="U63" s="15" t="n">
        <f aca="false">IF($U$37=1,$U$28,$U$32)</f>
        <v>1</v>
      </c>
    </row>
    <row r="64" customFormat="false" ht="15" hidden="false" customHeight="false" outlineLevel="0" collapsed="false">
      <c r="T64" s="15" t="s">
        <v>276</v>
      </c>
      <c r="U64" s="15" t="n">
        <f aca="false">IF($U$37=1,$U$29,$U$33)</f>
        <v>1</v>
      </c>
    </row>
    <row r="65" customFormat="false" ht="15" hidden="false" customHeight="false" outlineLevel="0" collapsed="false">
      <c r="T65" s="15" t="s">
        <v>277</v>
      </c>
      <c r="U65" s="15" t="n">
        <f aca="false">IF($U$37=1,$U$30,$U$34)</f>
        <v>1</v>
      </c>
    </row>
    <row r="66" customFormat="false" ht="15" hidden="false" customHeight="false" outlineLevel="0" collapsed="false">
      <c r="T66" s="15" t="s">
        <v>278</v>
      </c>
      <c r="U66" s="15" t="n">
        <f aca="false">IF($U$37=1,$U$31,$U$35)</f>
        <v>1</v>
      </c>
    </row>
    <row r="67" customFormat="false" ht="15" hidden="false" customHeight="false" outlineLevel="0" collapsed="false">
      <c r="T67" s="15" t="s">
        <v>188</v>
      </c>
      <c r="U67" s="15" t="n">
        <f aca="false">$U$38+$U$61</f>
        <v>420</v>
      </c>
    </row>
    <row r="68" customFormat="false" ht="15" hidden="false" customHeight="false" outlineLevel="0" collapsed="false">
      <c r="T68" s="15" t="s">
        <v>279</v>
      </c>
      <c r="U68" s="15" t="n">
        <f aca="false">IF($U$67&gt;=300,1,0)</f>
        <v>1</v>
      </c>
    </row>
    <row r="69" customFormat="false" ht="15" hidden="false" customHeight="false" outlineLevel="0" collapsed="false">
      <c r="T69" s="15" t="s">
        <v>280</v>
      </c>
      <c r="U69" s="15" t="n">
        <f aca="false">IF($U$48*$U$66*$U$68=1,1,0)</f>
        <v>1</v>
      </c>
    </row>
    <row r="70" customFormat="false" ht="15" hidden="false" customHeight="false" outlineLevel="0" collapsed="false">
      <c r="T70" s="0" t="s">
        <v>281</v>
      </c>
      <c r="U70" s="0" t="n">
        <f aca="false">IF($U$67&lt;300,"",MAX(10,MIN(40,INT((1020-$U$67)/18))))</f>
        <v>33</v>
      </c>
    </row>
    <row r="71" customFormat="false" ht="15" hidden="false" customHeight="false" outlineLevel="0" collapsed="false">
      <c r="T71" s="0" t="s">
        <v>282</v>
      </c>
      <c r="U71" s="0" t="n">
        <f aca="false">IF($U$70="",MAX(0,300-$U$67),IF($U$70&gt;10,1021-18*$U$70-$U$67,""))</f>
        <v>7</v>
      </c>
    </row>
    <row r="72" customFormat="false" ht="15" hidden="false" customHeight="false" outlineLevel="0" collapsed="false">
      <c r="T72" s="0" t="s">
        <v>283</v>
      </c>
      <c r="U72" s="0" t="n">
        <f aca="false">IF($U$70="","",$U$67-IF($U$70&gt;=40,300,1020-18*($U$70+1)+1))</f>
        <v>11</v>
      </c>
    </row>
  </sheetData>
  <sheetProtection sheet="true" formatCells="false" formatColumns="false" formatRows="false"/>
  <mergeCells count="1">
    <mergeCell ref="M6:N6"/>
  </mergeCells>
  <conditionalFormatting sqref="E6:H25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10">
    <cfRule type="expression" priority="5" aboveAverage="0" equalAverage="0" bottom="0" percent="0" rank="0" text="" dxfId="3">
      <formula>AND(ISNUMBER(I6),I6&lt;5)</formula>
    </cfRule>
  </conditionalFormatting>
  <conditionalFormatting sqref="M19:M27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2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8 E9:I10 E12:H25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2:D25" type="list">
      <formula1>"x"</formula1>
      <formula2>0</formula2>
    </dataValidation>
  </dataValidations>
  <hyperlinks>
    <hyperlink ref="B36" r:id="rId2" display="https://www.revosax.sachsen.de/vorschrift/20003-Schulordnung-Gymnasien-Abiturpruefung"/>
    <hyperlink ref="B38" r:id="rId3" display="Online-Rechner Sachsen mit Statistik und PDF-Download: https://www.abi-rechner.com/bundeslander/sachsen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Sachsen · abi-rechner.com · Stand September 2026</oddFooter>
  </headerFooter>
  <legacy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7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466</v>
      </c>
      <c r="T1" s="15" t="s">
        <v>72</v>
      </c>
      <c r="BZ1" s="15" t="s">
        <v>73</v>
      </c>
      <c r="CA1" s="15" t="s">
        <v>74</v>
      </c>
      <c r="CB1" s="15" t="s">
        <v>75</v>
      </c>
      <c r="CC1" s="15" t="s">
        <v>76</v>
      </c>
    </row>
    <row r="2" customFormat="false" ht="15" hidden="false" customHeight="false" outlineLevel="0" collapsed="false">
      <c r="B2" s="2" t="s">
        <v>467</v>
      </c>
      <c r="T2" s="15" t="s">
        <v>78</v>
      </c>
      <c r="U2" s="15" t="n">
        <f aca="false">IFERROR(AVERAGE($E$6:$H$25),7)</f>
        <v>7</v>
      </c>
      <c r="BZ2" s="15" t="n">
        <f aca="false">IFERROR(LARGE($AH$6:$AK$25,1),0)</f>
        <v>0</v>
      </c>
      <c r="CA2" s="15" t="n">
        <f aca="false">BZ2</f>
        <v>0</v>
      </c>
      <c r="CB2" s="15" t="n">
        <f aca="false">IFERROR(LARGE($AM$6:$AP$25,1),0)</f>
        <v>0</v>
      </c>
      <c r="CC2" s="15" t="n">
        <f aca="false">CB2</f>
        <v>0</v>
      </c>
      <c r="CE2" s="15" t="s">
        <v>79</v>
      </c>
      <c r="CF2" s="15" t="s">
        <v>80</v>
      </c>
      <c r="CG2" s="15" t="s">
        <v>81</v>
      </c>
      <c r="CH2" s="15" t="s">
        <v>82</v>
      </c>
      <c r="CI2" s="15" t="s">
        <v>83</v>
      </c>
      <c r="CJ2" s="15" t="s">
        <v>84</v>
      </c>
      <c r="CK2" s="15" t="s">
        <v>85</v>
      </c>
      <c r="CL2" s="15" t="s">
        <v>86</v>
      </c>
      <c r="CM2" s="15" t="s">
        <v>87</v>
      </c>
      <c r="CN2" s="15" t="s">
        <v>88</v>
      </c>
      <c r="CO2" s="15" t="s">
        <v>89</v>
      </c>
      <c r="CP2" s="15" t="s">
        <v>90</v>
      </c>
      <c r="CQ2" s="15" t="s">
        <v>91</v>
      </c>
      <c r="CR2" s="15" t="s">
        <v>92</v>
      </c>
      <c r="CS2" s="15" t="s">
        <v>93</v>
      </c>
      <c r="CT2" s="15" t="s">
        <v>94</v>
      </c>
      <c r="CU2" s="15" t="s">
        <v>95</v>
      </c>
      <c r="CV2" s="15" t="s">
        <v>96</v>
      </c>
      <c r="CW2" s="15" t="s">
        <v>97</v>
      </c>
      <c r="CX2" s="15" t="s">
        <v>98</v>
      </c>
      <c r="CY2" s="15" t="s">
        <v>99</v>
      </c>
      <c r="CZ2" s="15" t="s">
        <v>100</v>
      </c>
      <c r="DA2" s="15" t="s">
        <v>101</v>
      </c>
      <c r="DB2" s="15" t="s">
        <v>102</v>
      </c>
      <c r="DC2" s="15" t="s">
        <v>103</v>
      </c>
      <c r="DD2" s="15" t="s">
        <v>104</v>
      </c>
      <c r="DE2" s="15" t="s">
        <v>105</v>
      </c>
      <c r="DF2" s="15" t="s">
        <v>106</v>
      </c>
      <c r="DG2" s="15" t="s">
        <v>107</v>
      </c>
      <c r="DH2" s="15" t="s">
        <v>108</v>
      </c>
    </row>
    <row r="3" customFormat="false" ht="15" hidden="false" customHeight="false" outlineLevel="0" collapsed="false">
      <c r="B3" s="16" t="s">
        <v>109</v>
      </c>
      <c r="T3" s="15" t="s">
        <v>110</v>
      </c>
      <c r="U3" s="15" t="n">
        <f aca="false">IFERROR(AVERAGE($I$6:$I$10),$U$2)</f>
        <v>7</v>
      </c>
      <c r="BZ3" s="15" t="n">
        <f aca="false">IFERROR(LARGE($AH$6:$AK$25,2),0)</f>
        <v>0</v>
      </c>
      <c r="CA3" s="15" t="n">
        <f aca="false">CA2+BZ3</f>
        <v>0</v>
      </c>
      <c r="CB3" s="15" t="n">
        <f aca="false">IFERROR(LARGE($AM$6:$AP$25,2),0)</f>
        <v>0</v>
      </c>
      <c r="CC3" s="15" t="n">
        <f aca="false">CC2+CB3</f>
        <v>0</v>
      </c>
      <c r="CE3" s="15" t="n">
        <f aca="false">36</f>
        <v>36</v>
      </c>
      <c r="CF3" s="15" t="n">
        <f aca="false">CE3-$U$5-$U$6-0</f>
        <v>16</v>
      </c>
      <c r="CG3" s="15" t="n">
        <f aca="false">MAX(0,CF3)</f>
        <v>16</v>
      </c>
      <c r="CH3" s="15" t="n">
        <f aca="false">MIN(CG3,$U$7)</f>
        <v>0</v>
      </c>
      <c r="CI3" s="15" t="n">
        <f aca="false">CG3-CH3</f>
        <v>16</v>
      </c>
      <c r="CJ3" s="15" t="n">
        <f aca="false">0</f>
        <v>0</v>
      </c>
      <c r="CK3" s="15" t="n">
        <f aca="false">$U$5+CH3+CJ3</f>
        <v>0</v>
      </c>
      <c r="CL3" s="15" t="n">
        <f aca="false">2*AW6+2*AX6+2*AW7+2*AX7</f>
        <v>0</v>
      </c>
      <c r="CM3" s="15" t="n">
        <f aca="false">2*AY6+2*AZ6+2*AY7+2*AZ7+1*AY8+1*AZ8+1*AY9+1*AZ9+1*AY10+1*AZ10+SUM($AA$12:$AA$25)</f>
        <v>0</v>
      </c>
      <c r="CN3" s="15" t="n">
        <f aca="false">IF(CH3=0,0,INDEX($CA$2:$CA$57,CH3))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IF(CP3&gt;0,MIN(600,INT((CO3/CP3*40)+0.5+0.000000001)),0)</f>
        <v>0</v>
      </c>
      <c r="CR3" s="15" t="n">
        <f aca="false">$U$9+CT3</f>
        <v>0</v>
      </c>
      <c r="CS3" s="15" t="n">
        <f aca="false">INT(CK3*0.2)</f>
        <v>0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1</f>
        <v>1</v>
      </c>
      <c r="CY3" s="15" t="n">
        <f aca="false">1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36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111</v>
      </c>
      <c r="U4" s="15" t="n">
        <f aca="false">IF(COUNT($E$6:$H$25,$I$6:$I$10)&gt;0,1,0)</f>
        <v>0</v>
      </c>
      <c r="BZ4" s="15" t="n">
        <f aca="false">IFERROR(LARGE($AH$6:$AK$25,3),0)</f>
        <v>0</v>
      </c>
      <c r="CA4" s="15" t="n">
        <f aca="false">CA3+BZ4</f>
        <v>0</v>
      </c>
      <c r="CB4" s="15" t="n">
        <f aca="false">IFERROR(LARGE($AM$6:$AP$25,3),0)</f>
        <v>0</v>
      </c>
      <c r="CC4" s="15" t="n">
        <f aca="false">CC3+CB4</f>
        <v>0</v>
      </c>
      <c r="CE4" s="15" t="n">
        <f aca="false">37</f>
        <v>37</v>
      </c>
      <c r="CF4" s="15" t="n">
        <f aca="false">CE4-$U$5-$U$6-0</f>
        <v>17</v>
      </c>
      <c r="CG4" s="15" t="n">
        <f aca="false">MAX(0,CF4)</f>
        <v>17</v>
      </c>
      <c r="CH4" s="15" t="n">
        <f aca="false">MIN(CG4,$U$7)</f>
        <v>0</v>
      </c>
      <c r="CI4" s="15" t="n">
        <f aca="false">CG4-CH4</f>
        <v>17</v>
      </c>
      <c r="CJ4" s="15" t="n">
        <f aca="false">0</f>
        <v>0</v>
      </c>
      <c r="CK4" s="15" t="n">
        <f aca="false">$U$5+CH4+CJ4</f>
        <v>0</v>
      </c>
      <c r="CL4" s="15" t="n">
        <f aca="false">2*AW6+2*AX6+2*AW7+2*AX7</f>
        <v>0</v>
      </c>
      <c r="CM4" s="15" t="n">
        <f aca="false">2*AY6+2*AZ6+2*AY7+2*AZ7+1*AY8+1*AZ8+1*AY9+1*AZ9+1*AY10+1*AZ10+SUM($AA$12:$AA$25)</f>
        <v>0</v>
      </c>
      <c r="CN4" s="15" t="n">
        <f aca="false">IF(CH4=0,0,INDEX($CA$2:$CA$57,CH4))</f>
        <v>0</v>
      </c>
      <c r="CO4" s="15" t="n">
        <f aca="false">CL4+$U$11+CN4+CJ4*$U$2</f>
        <v>0</v>
      </c>
      <c r="CP4" s="15" t="n">
        <f aca="false">CM4+CH4+CJ4</f>
        <v>0</v>
      </c>
      <c r="CQ4" s="15" t="n">
        <f aca="false">IF(CP4&gt;0,MIN(600,INT((CO4/CP4*40)+0.5+0.000000001)),0)</f>
        <v>0</v>
      </c>
      <c r="CR4" s="15" t="n">
        <f aca="false">$U$9+CT4</f>
        <v>0</v>
      </c>
      <c r="CS4" s="15" t="n">
        <f aca="false">INT(CK4*0.2)</f>
        <v>0</v>
      </c>
      <c r="CT4" s="15" t="n">
        <f aca="false">$U$10+MAX(0,CH4-$U$8)+CJ4*IF($U$2&lt;5,1,0)</f>
        <v>0</v>
      </c>
      <c r="CU4" s="15" t="n">
        <f aca="false">$U$11+CN4+CJ4*$U$2</f>
        <v>0</v>
      </c>
      <c r="CV4" s="15" t="n">
        <f aca="false">IF(CQ4&gt;=200,1,0)</f>
        <v>0</v>
      </c>
      <c r="CW4" s="15" t="n">
        <f aca="false">IF(CR4&lt;=CS4,1,0)</f>
        <v>1</v>
      </c>
      <c r="CX4" s="15" t="n">
        <f aca="false">1</f>
        <v>1</v>
      </c>
      <c r="CY4" s="15" t="n">
        <f aca="false">1</f>
        <v>1</v>
      </c>
      <c r="CZ4" s="15" t="n">
        <f aca="false">1</f>
        <v>1</v>
      </c>
      <c r="DA4" s="15" t="n">
        <f aca="false">1</f>
        <v>1</v>
      </c>
      <c r="DB4" s="15" t="n">
        <f aca="false">IF($U$12=0,1,0)</f>
        <v>1</v>
      </c>
      <c r="DC4" s="15" t="n">
        <f aca="false">1</f>
        <v>1</v>
      </c>
      <c r="DD4" s="15" t="n">
        <f aca="false">1</f>
        <v>1</v>
      </c>
      <c r="DE4" s="15" t="n">
        <f aca="false">IF(CF4&lt;0,0,1)</f>
        <v>1</v>
      </c>
      <c r="DF4" s="15" t="n">
        <f aca="false">IF(CV4*CW4*CX4*CY4*CZ4*DA4*DB4*DC4*DD4*DE4=1,1,0)</f>
        <v>0</v>
      </c>
      <c r="DG4" s="15" t="n">
        <f aca="false">$U$6+CI4</f>
        <v>37</v>
      </c>
      <c r="DH4" s="15" t="n">
        <f aca="false">DF4*1000000+CQ4*100+(100-CK4)</f>
        <v>100</v>
      </c>
    </row>
    <row r="5" customFormat="false" ht="30" hidden="false" customHeight="true" outlineLevel="0" collapsed="false">
      <c r="B5" s="17" t="s">
        <v>9</v>
      </c>
      <c r="C5" s="17" t="s">
        <v>112</v>
      </c>
      <c r="D5" s="18"/>
      <c r="E5" s="18" t="s">
        <v>113</v>
      </c>
      <c r="F5" s="18" t="s">
        <v>114</v>
      </c>
      <c r="G5" s="18" t="s">
        <v>115</v>
      </c>
      <c r="H5" s="18" t="s">
        <v>116</v>
      </c>
      <c r="I5" s="18" t="s">
        <v>11</v>
      </c>
      <c r="J5" s="18" t="s">
        <v>117</v>
      </c>
      <c r="L5" s="19" t="s">
        <v>118</v>
      </c>
      <c r="M5" s="20"/>
      <c r="N5" s="20"/>
      <c r="T5" s="15" t="s">
        <v>119</v>
      </c>
      <c r="U5" s="15" t="n">
        <f aca="false">AY6+AY7+AY8+AY9+AY10+AZ6+AZ7+AZ8+AZ9+AZ10+SUM($AA$12:$AA$25)</f>
        <v>0</v>
      </c>
      <c r="V5" s="15" t="n">
        <f aca="false">BG6+BG7+BG8+BG9+BG10+BH6+BH7+BH8+BH9+BH10+SUM($AE$12:$AE$25)</f>
        <v>20</v>
      </c>
      <c r="AH5" s="15" t="s">
        <v>120</v>
      </c>
      <c r="AM5" s="15" t="s">
        <v>121</v>
      </c>
      <c r="AR5" s="15" t="s">
        <v>122</v>
      </c>
      <c r="AW5" s="15" t="s">
        <v>123</v>
      </c>
      <c r="AX5" s="15" t="s">
        <v>124</v>
      </c>
      <c r="AY5" s="15" t="s">
        <v>125</v>
      </c>
      <c r="AZ5" s="15" t="s">
        <v>126</v>
      </c>
      <c r="BA5" s="15" t="s">
        <v>127</v>
      </c>
      <c r="BB5" s="15" t="s">
        <v>128</v>
      </c>
      <c r="BC5" s="15" t="s">
        <v>129</v>
      </c>
      <c r="BD5" s="15" t="s">
        <v>130</v>
      </c>
      <c r="BE5" s="15" t="s">
        <v>131</v>
      </c>
      <c r="BF5" s="15" t="s">
        <v>132</v>
      </c>
      <c r="BG5" s="15" t="s">
        <v>133</v>
      </c>
      <c r="BH5" s="15" t="s">
        <v>134</v>
      </c>
      <c r="BI5" s="15" t="s">
        <v>135</v>
      </c>
      <c r="BJ5" s="15" t="s">
        <v>136</v>
      </c>
      <c r="BK5" s="15" t="s">
        <v>137</v>
      </c>
      <c r="BL5" s="15" t="s">
        <v>138</v>
      </c>
      <c r="BN5" s="15" t="s">
        <v>139</v>
      </c>
      <c r="BO5" s="15" t="s">
        <v>140</v>
      </c>
      <c r="BP5" s="15" t="s">
        <v>141</v>
      </c>
      <c r="BQ5" s="15" t="s">
        <v>128</v>
      </c>
      <c r="BR5" s="15" t="s">
        <v>142</v>
      </c>
      <c r="BT5" s="15" t="s">
        <v>143</v>
      </c>
      <c r="BU5" s="15" t="s">
        <v>144</v>
      </c>
      <c r="BV5" s="15" t="s">
        <v>145</v>
      </c>
      <c r="BW5" s="15" t="s">
        <v>136</v>
      </c>
      <c r="BX5" s="15" t="s">
        <v>146</v>
      </c>
      <c r="BZ5" s="15" t="n">
        <f aca="false">IFERROR(LARGE($AH$6:$AK$25,4),0)</f>
        <v>0</v>
      </c>
      <c r="CA5" s="15" t="n">
        <f aca="false">CA4+BZ5</f>
        <v>0</v>
      </c>
      <c r="CB5" s="15" t="n">
        <f aca="false">IFERROR(LARGE($AM$6:$AP$25,4),0)</f>
        <v>0</v>
      </c>
      <c r="CC5" s="15" t="n">
        <f aca="false">CC4+CB5</f>
        <v>0</v>
      </c>
      <c r="CE5" s="15" t="n">
        <f aca="false">38</f>
        <v>38</v>
      </c>
      <c r="CF5" s="15" t="n">
        <f aca="false">CE5-$U$5-$U$6-0</f>
        <v>18</v>
      </c>
      <c r="CG5" s="15" t="n">
        <f aca="false">MAX(0,CF5)</f>
        <v>18</v>
      </c>
      <c r="CH5" s="15" t="n">
        <f aca="false">MIN(CG5,$U$7)</f>
        <v>0</v>
      </c>
      <c r="CI5" s="15" t="n">
        <f aca="false">CG5-CH5</f>
        <v>18</v>
      </c>
      <c r="CJ5" s="15" t="n">
        <f aca="false">0</f>
        <v>0</v>
      </c>
      <c r="CK5" s="15" t="n">
        <f aca="false">$U$5+CH5+CJ5</f>
        <v>0</v>
      </c>
      <c r="CL5" s="15" t="n">
        <f aca="false">2*AW6+2*AX6+2*AW7+2*AX7</f>
        <v>0</v>
      </c>
      <c r="CM5" s="15" t="n">
        <f aca="false">2*AY6+2*AZ6+2*AY7+2*AZ7+1*AY8+1*AZ8+1*AY9+1*AZ9+1*AY10+1*AZ10+SUM($AA$12:$AA$25)</f>
        <v>0</v>
      </c>
      <c r="CN5" s="15" t="n">
        <f aca="false">IF(CH5=0,0,INDEX($CA$2:$CA$57,CH5))</f>
        <v>0</v>
      </c>
      <c r="CO5" s="15" t="n">
        <f aca="false">CL5+$U$11+CN5+CJ5*$U$2</f>
        <v>0</v>
      </c>
      <c r="CP5" s="15" t="n">
        <f aca="false">CM5+CH5+CJ5</f>
        <v>0</v>
      </c>
      <c r="CQ5" s="15" t="n">
        <f aca="false">IF(CP5&gt;0,MIN(600,INT((CO5/CP5*40)+0.5+0.000000001)),0)</f>
        <v>0</v>
      </c>
      <c r="CR5" s="15" t="n">
        <f aca="false">$U$9+CT5</f>
        <v>0</v>
      </c>
      <c r="CS5" s="15" t="n">
        <f aca="false">INT(CK5*0.2)</f>
        <v>0</v>
      </c>
      <c r="CT5" s="15" t="n">
        <f aca="false">$U$10+MAX(0,CH5-$U$8)+CJ5*IF($U$2&lt;5,1,0)</f>
        <v>0</v>
      </c>
      <c r="CU5" s="15" t="n">
        <f aca="false">$U$11+CN5+CJ5*$U$2</f>
        <v>0</v>
      </c>
      <c r="CV5" s="15" t="n">
        <f aca="false">IF(CQ5&gt;=200,1,0)</f>
        <v>0</v>
      </c>
      <c r="CW5" s="15" t="n">
        <f aca="false">IF(CR5&lt;=CS5,1,0)</f>
        <v>1</v>
      </c>
      <c r="CX5" s="15" t="n">
        <f aca="false">1</f>
        <v>1</v>
      </c>
      <c r="CY5" s="15" t="n">
        <f aca="false">1</f>
        <v>1</v>
      </c>
      <c r="CZ5" s="15" t="n">
        <f aca="false">1</f>
        <v>1</v>
      </c>
      <c r="DA5" s="15" t="n">
        <f aca="false">1</f>
        <v>1</v>
      </c>
      <c r="DB5" s="15" t="n">
        <f aca="false">IF($U$12=0,1,0)</f>
        <v>1</v>
      </c>
      <c r="DC5" s="15" t="n">
        <f aca="false">1</f>
        <v>1</v>
      </c>
      <c r="DD5" s="15" t="n">
        <f aca="false">1</f>
        <v>1</v>
      </c>
      <c r="DE5" s="15" t="n">
        <f aca="false">IF(CF5&lt;0,0,1)</f>
        <v>1</v>
      </c>
      <c r="DF5" s="15" t="n">
        <f aca="false">IF(CV5*CW5*CX5*CY5*CZ5*DA5*DB5*DC5*DD5*DE5=1,1,0)</f>
        <v>0</v>
      </c>
      <c r="DG5" s="15" t="n">
        <f aca="false">$U$6+CI5</f>
        <v>38</v>
      </c>
      <c r="DH5" s="15" t="n">
        <f aca="false">DF5*1000000+CQ5*100+(100-CK5)</f>
        <v>100</v>
      </c>
    </row>
    <row r="6" customFormat="false" ht="39.75" hidden="false" customHeight="true" outlineLevel="0" collapsed="false">
      <c r="B6" s="21" t="s">
        <v>468</v>
      </c>
      <c r="C6" s="22"/>
      <c r="D6" s="23" t="s">
        <v>148</v>
      </c>
      <c r="E6" s="24"/>
      <c r="F6" s="24"/>
      <c r="G6" s="24"/>
      <c r="H6" s="24"/>
      <c r="I6" s="25"/>
      <c r="J6" s="24"/>
      <c r="L6" s="26" t="s">
        <v>149</v>
      </c>
      <c r="M6" s="27" t="str">
        <f aca="false">IF($U$4=0,"Noch keine Eingaben – trag deine Punkte in die gelben Felder ein.",IF($U$37=1,"Endergebnis (alle Felder ausgefüllt)","Prognose: "&amp;$U$36&amp;" Felder offen, gefüllt mit deinem Schnitt von "&amp;FIXED($U$2,1)&amp;" Punkten"))</f>
        <v>Noch keine Eingaben – trag deine Punkte in die gelben Felder ein.</v>
      </c>
      <c r="N6" s="27"/>
      <c r="T6" s="15" t="s">
        <v>150</v>
      </c>
      <c r="U6" s="15" t="n">
        <f aca="false">BC6+BC7+BC8+BC9+BC10</f>
        <v>20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IF(BN6="","",IF(ISNUMBER($J$6),INT(((2*BN6+$J$6)/3*$U$15)+0.5+0.000000001),BN6*$U$15))</f>
        <v/>
      </c>
      <c r="BP6" s="15" t="n">
        <f aca="false">IF(BO6="",0,IF(BO6&gt;=5*$U$15-0.000000001,1,0))</f>
        <v>0</v>
      </c>
      <c r="BQ6" s="15" t="n">
        <f aca="false">IF(BO6="",0,IF(BO6&lt;0.000000001,1,0))</f>
        <v>0</v>
      </c>
      <c r="BR6" s="15" t="n">
        <f aca="false">IF(BO6="",0,IF(BO6&lt;1*$U$15-0.000000001,1,0))</f>
        <v>0</v>
      </c>
      <c r="BT6" s="15" t="n">
        <f aca="false">IF(ISNUMBER($I$6),$I$6,$U$3)</f>
        <v>7</v>
      </c>
      <c r="BU6" s="15" t="n">
        <f aca="false">IF(BT6="","",IF(ISNUMBER($J$6),INT(((2*BT6+$J$6)/3*$U$15)+0.5+0.000000001),BT6*$U$15))</f>
        <v>28</v>
      </c>
      <c r="BV6" s="15" t="n">
        <f aca="false">IF(BU6="",0,IF(BU6&gt;=5*$U$15-0.000000001,1,0))</f>
        <v>1</v>
      </c>
      <c r="BW6" s="15" t="n">
        <f aca="false">IF(BU6="",0,IF(BU6&lt;0.000000001,1,0))</f>
        <v>0</v>
      </c>
      <c r="BX6" s="15" t="n">
        <f aca="false">IF(BU6="",0,IF(BU6&lt;1*$U$15-0.000000001,1,0))</f>
        <v>0</v>
      </c>
      <c r="BZ6" s="15" t="n">
        <f aca="false">IFERROR(LARGE($AH$6:$AK$25,5),0)</f>
        <v>0</v>
      </c>
      <c r="CA6" s="15" t="n">
        <f aca="false">CA5+BZ6</f>
        <v>0</v>
      </c>
      <c r="CB6" s="15" t="n">
        <f aca="false">IFERROR(LARGE($AM$6:$AP$25,5),0)</f>
        <v>0</v>
      </c>
      <c r="CC6" s="15" t="n">
        <f aca="false">CC5+CB6</f>
        <v>0</v>
      </c>
      <c r="CE6" s="15" t="n">
        <f aca="false">39</f>
        <v>39</v>
      </c>
      <c r="CF6" s="15" t="n">
        <f aca="false">CE6-$U$5-$U$6-0</f>
        <v>19</v>
      </c>
      <c r="CG6" s="15" t="n">
        <f aca="false">MAX(0,CF6)</f>
        <v>19</v>
      </c>
      <c r="CH6" s="15" t="n">
        <f aca="false">MIN(CG6,$U$7)</f>
        <v>0</v>
      </c>
      <c r="CI6" s="15" t="n">
        <f aca="false">CG6-CH6</f>
        <v>19</v>
      </c>
      <c r="CJ6" s="15" t="n">
        <f aca="false">0</f>
        <v>0</v>
      </c>
      <c r="CK6" s="15" t="n">
        <f aca="false">$U$5+CH6+CJ6</f>
        <v>0</v>
      </c>
      <c r="CL6" s="15" t="n">
        <f aca="false">2*AW6+2*AX6+2*AW7+2*AX7</f>
        <v>0</v>
      </c>
      <c r="CM6" s="15" t="n">
        <f aca="false">2*AY6+2*AZ6+2*AY7+2*AZ7+1*AY8+1*AZ8+1*AY9+1*AZ9+1*AY10+1*AZ10+SUM($AA$12:$AA$25)</f>
        <v>0</v>
      </c>
      <c r="CN6" s="15" t="n">
        <f aca="false">IF(CH6=0,0,INDEX($CA$2:$CA$57,CH6))</f>
        <v>0</v>
      </c>
      <c r="CO6" s="15" t="n">
        <f aca="false">CL6+$U$11+CN6+CJ6*$U$2</f>
        <v>0</v>
      </c>
      <c r="CP6" s="15" t="n">
        <f aca="false">CM6+CH6+CJ6</f>
        <v>0</v>
      </c>
      <c r="CQ6" s="15" t="n">
        <f aca="false">IF(CP6&gt;0,MIN(600,INT((CO6/CP6*40)+0.5+0.000000001)),0)</f>
        <v>0</v>
      </c>
      <c r="CR6" s="15" t="n">
        <f aca="false">$U$9+CT6</f>
        <v>0</v>
      </c>
      <c r="CS6" s="15" t="n">
        <f aca="false">INT(CK6*0.2)</f>
        <v>0</v>
      </c>
      <c r="CT6" s="15" t="n">
        <f aca="false">$U$10+MAX(0,CH6-$U$8)+CJ6*IF($U$2&lt;5,1,0)</f>
        <v>0</v>
      </c>
      <c r="CU6" s="15" t="n">
        <f aca="false">$U$11+CN6+CJ6*$U$2</f>
        <v>0</v>
      </c>
      <c r="CV6" s="15" t="n">
        <f aca="false">IF(CQ6&gt;=200,1,0)</f>
        <v>0</v>
      </c>
      <c r="CW6" s="15" t="n">
        <f aca="false">IF(CR6&lt;=CS6,1,0)</f>
        <v>1</v>
      </c>
      <c r="CX6" s="15" t="n">
        <f aca="false">1</f>
        <v>1</v>
      </c>
      <c r="CY6" s="15" t="n">
        <f aca="false">1</f>
        <v>1</v>
      </c>
      <c r="CZ6" s="15" t="n">
        <f aca="false">1</f>
        <v>1</v>
      </c>
      <c r="DA6" s="15" t="n">
        <f aca="false">1</f>
        <v>1</v>
      </c>
      <c r="DB6" s="15" t="n">
        <f aca="false">IF($U$12=0,1,0)</f>
        <v>1</v>
      </c>
      <c r="DC6" s="15" t="n">
        <f aca="false">1</f>
        <v>1</v>
      </c>
      <c r="DD6" s="15" t="n">
        <f aca="false">1</f>
        <v>1</v>
      </c>
      <c r="DE6" s="15" t="n">
        <f aca="false">IF(CF6&lt;0,0,1)</f>
        <v>1</v>
      </c>
      <c r="DF6" s="15" t="n">
        <f aca="false">IF(CV6*CW6*CX6*CY6*CZ6*DA6*DB6*DC6*DD6*DE6=1,1,0)</f>
        <v>0</v>
      </c>
      <c r="DG6" s="15" t="n">
        <f aca="false">$U$6+CI6</f>
        <v>39</v>
      </c>
      <c r="DH6" s="15" t="n">
        <f aca="false">DF6*1000000+CQ6*100+(100-CK6)</f>
        <v>100</v>
      </c>
    </row>
    <row r="7" customFormat="false" ht="37.5" hidden="false" customHeight="true" outlineLevel="0" collapsed="false">
      <c r="B7" s="21" t="s">
        <v>469</v>
      </c>
      <c r="C7" s="22"/>
      <c r="D7" s="23" t="s">
        <v>148</v>
      </c>
      <c r="E7" s="24"/>
      <c r="F7" s="24"/>
      <c r="G7" s="24"/>
      <c r="H7" s="24"/>
      <c r="I7" s="25"/>
      <c r="J7" s="24"/>
      <c r="L7" s="26" t="s">
        <v>152</v>
      </c>
      <c r="M7" s="28" t="str">
        <f aca="false">IF($U$4=0,"",$U$38)</f>
        <v/>
      </c>
      <c r="N7" s="29" t="s">
        <v>153</v>
      </c>
      <c r="T7" s="15" t="s">
        <v>154</v>
      </c>
      <c r="U7" s="15" t="n">
        <f aca="false">COUNT($AH$6:$AK$25)</f>
        <v>0</v>
      </c>
      <c r="V7" s="15" t="n">
        <f aca="false">COUNT($AM$6:$AP$25)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IF(BN7="","",IF(ISNUMBER($J$7),INT(((2*BN7+$J$7)/3*$U$15)+0.5+0.000000001),BN7*$U$15))</f>
        <v/>
      </c>
      <c r="BP7" s="15" t="n">
        <f aca="false">IF(BO7="",0,IF(BO7&gt;=5*$U$15-0.000000001,1,0))</f>
        <v>0</v>
      </c>
      <c r="BQ7" s="15" t="n">
        <f aca="false">IF(BO7="",0,IF(BO7&lt;0.000000001,1,0))</f>
        <v>0</v>
      </c>
      <c r="BR7" s="15" t="n">
        <f aca="false">IF(BO7="",0,IF(BO7&lt;1*$U$15-0.000000001,1,0))</f>
        <v>0</v>
      </c>
      <c r="BT7" s="15" t="n">
        <f aca="false">IF(ISNUMBER($I$7),$I$7,$U$3)</f>
        <v>7</v>
      </c>
      <c r="BU7" s="15" t="n">
        <f aca="false">IF(BT7="","",IF(ISNUMBER($J$7),INT(((2*BT7+$J$7)/3*$U$15)+0.5+0.000000001),BT7*$U$15))</f>
        <v>28</v>
      </c>
      <c r="BV7" s="15" t="n">
        <f aca="false">IF(BU7="",0,IF(BU7&gt;=5*$U$15-0.000000001,1,0))</f>
        <v>1</v>
      </c>
      <c r="BW7" s="15" t="n">
        <f aca="false">IF(BU7="",0,IF(BU7&lt;0.000000001,1,0))</f>
        <v>0</v>
      </c>
      <c r="BX7" s="15" t="n">
        <f aca="false">IF(BU7="",0,IF(BU7&lt;1*$U$15-0.000000001,1,0))</f>
        <v>0</v>
      </c>
      <c r="BZ7" s="15" t="n">
        <f aca="false">IFERROR(LARGE($AH$6:$AK$25,6),0)</f>
        <v>0</v>
      </c>
      <c r="CA7" s="15" t="n">
        <f aca="false">CA6+BZ7</f>
        <v>0</v>
      </c>
      <c r="CB7" s="15" t="n">
        <f aca="false">IFERROR(LARGE($AM$6:$AP$25,6),0)</f>
        <v>0</v>
      </c>
      <c r="CC7" s="15" t="n">
        <f aca="false">CC6+CB7</f>
        <v>0</v>
      </c>
      <c r="CE7" s="15" t="n">
        <f aca="false">40</f>
        <v>40</v>
      </c>
      <c r="CF7" s="15" t="n">
        <f aca="false">CE7-$U$5-$U$6-0</f>
        <v>20</v>
      </c>
      <c r="CG7" s="15" t="n">
        <f aca="false">MAX(0,CF7)</f>
        <v>20</v>
      </c>
      <c r="CH7" s="15" t="n">
        <f aca="false">MIN(CG7,$U$7)</f>
        <v>0</v>
      </c>
      <c r="CI7" s="15" t="n">
        <f aca="false">CG7-CH7</f>
        <v>20</v>
      </c>
      <c r="CJ7" s="15" t="n">
        <f aca="false">0</f>
        <v>0</v>
      </c>
      <c r="CK7" s="15" t="n">
        <f aca="false">$U$5+CH7+CJ7</f>
        <v>0</v>
      </c>
      <c r="CL7" s="15" t="n">
        <f aca="false">2*AW6+2*AX6+2*AW7+2*AX7</f>
        <v>0</v>
      </c>
      <c r="CM7" s="15" t="n">
        <f aca="false">2*AY6+2*AZ6+2*AY7+2*AZ7+1*AY8+1*AZ8+1*AY9+1*AZ9+1*AY10+1*AZ10+SUM($AA$12:$AA$25)</f>
        <v>0</v>
      </c>
      <c r="CN7" s="15" t="n">
        <f aca="false">IF(CH7=0,0,INDEX($CA$2:$CA$57,CH7))</f>
        <v>0</v>
      </c>
      <c r="CO7" s="15" t="n">
        <f aca="false">CL7+$U$11+CN7+CJ7*$U$2</f>
        <v>0</v>
      </c>
      <c r="CP7" s="15" t="n">
        <f aca="false">CM7+CH7+CJ7</f>
        <v>0</v>
      </c>
      <c r="CQ7" s="15" t="n">
        <f aca="false">IF(CP7&gt;0,MIN(600,INT((CO7/CP7*40)+0.5+0.000000001)),0)</f>
        <v>0</v>
      </c>
      <c r="CR7" s="15" t="n">
        <f aca="false">$U$9+CT7</f>
        <v>0</v>
      </c>
      <c r="CS7" s="15" t="n">
        <f aca="false">INT(CK7*0.2)</f>
        <v>0</v>
      </c>
      <c r="CT7" s="15" t="n">
        <f aca="false">$U$10+MAX(0,CH7-$U$8)+CJ7*IF($U$2&lt;5,1,0)</f>
        <v>0</v>
      </c>
      <c r="CU7" s="15" t="n">
        <f aca="false">$U$11+CN7+CJ7*$U$2</f>
        <v>0</v>
      </c>
      <c r="CV7" s="15" t="n">
        <f aca="false">IF(CQ7&gt;=200,1,0)</f>
        <v>0</v>
      </c>
      <c r="CW7" s="15" t="n">
        <f aca="false">IF(CR7&lt;=CS7,1,0)</f>
        <v>1</v>
      </c>
      <c r="CX7" s="15" t="n">
        <f aca="false">1</f>
        <v>1</v>
      </c>
      <c r="CY7" s="15" t="n">
        <f aca="false">1</f>
        <v>1</v>
      </c>
      <c r="CZ7" s="15" t="n">
        <f aca="false">1</f>
        <v>1</v>
      </c>
      <c r="DA7" s="15" t="n">
        <f aca="false">1</f>
        <v>1</v>
      </c>
      <c r="DB7" s="15" t="n">
        <f aca="false">IF($U$12=0,1,0)</f>
        <v>1</v>
      </c>
      <c r="DC7" s="15" t="n">
        <f aca="false">1</f>
        <v>1</v>
      </c>
      <c r="DD7" s="15" t="n">
        <f aca="false">1</f>
        <v>1</v>
      </c>
      <c r="DE7" s="15" t="n">
        <f aca="false">IF(CF7&lt;0,0,1)</f>
        <v>1</v>
      </c>
      <c r="DF7" s="15" t="n">
        <f aca="false">IF(CV7*CW7*CX7*CY7*CZ7*DA7*DB7*DC7*DD7*DE7=1,1,0)</f>
        <v>0</v>
      </c>
      <c r="DG7" s="15" t="n">
        <f aca="false">$U$6+CI7</f>
        <v>40</v>
      </c>
      <c r="DH7" s="15" t="n">
        <f aca="false">DF7*1000000+CQ7*100+(100-CK7)</f>
        <v>100</v>
      </c>
    </row>
    <row r="8" customFormat="false" ht="37.5" hidden="false" customHeight="true" outlineLevel="0" collapsed="false">
      <c r="B8" s="21" t="s">
        <v>470</v>
      </c>
      <c r="C8" s="22"/>
      <c r="D8" s="23" t="s">
        <v>148</v>
      </c>
      <c r="E8" s="24"/>
      <c r="F8" s="24"/>
      <c r="G8" s="24"/>
      <c r="H8" s="24"/>
      <c r="I8" s="25"/>
      <c r="J8" s="24"/>
      <c r="L8" s="26" t="s">
        <v>156</v>
      </c>
      <c r="M8" s="28" t="str">
        <f aca="false">IF($U$4=0,"",$U$61)</f>
        <v/>
      </c>
      <c r="N8" s="29" t="s">
        <v>157</v>
      </c>
      <c r="T8" s="15" t="s">
        <v>158</v>
      </c>
      <c r="U8" s="15" t="n">
        <f aca="false">COUNTIF($AH$6:$AK$25,"&gt;=5")</f>
        <v>0</v>
      </c>
      <c r="V8" s="15" t="n">
        <f aca="false">COUNTIF($AM$6:$AP$25,"&gt;=5")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IF(BN8="","",IF(ISNUMBER($J$8),INT(((2*BN8+$J$8)/3*$U$15)+0.5+0.000000001),BN8*$U$15))</f>
        <v/>
      </c>
      <c r="BP8" s="15" t="n">
        <f aca="false">IF(BO8="",0,IF(BO8&gt;=5*$U$15-0.000000001,1,0))</f>
        <v>0</v>
      </c>
      <c r="BQ8" s="15" t="n">
        <f aca="false">IF(BO8="",0,IF(BO8&lt;0.000000001,1,0))</f>
        <v>0</v>
      </c>
      <c r="BR8" s="15" t="n">
        <f aca="false">IF(BO8="",0,IF(BO8&lt;1*$U$15-0.000000001,1,0))</f>
        <v>0</v>
      </c>
      <c r="BT8" s="15" t="n">
        <f aca="false">IF(ISNUMBER($I$8),$I$8,$U$3)</f>
        <v>7</v>
      </c>
      <c r="BU8" s="15" t="n">
        <f aca="false">IF(BT8="","",IF(ISNUMBER($J$8),INT(((2*BT8+$J$8)/3*$U$15)+0.5+0.000000001),BT8*$U$15))</f>
        <v>28</v>
      </c>
      <c r="BV8" s="15" t="n">
        <f aca="false">IF(BU8="",0,IF(BU8&gt;=5*$U$15-0.000000001,1,0))</f>
        <v>1</v>
      </c>
      <c r="BW8" s="15" t="n">
        <f aca="false">IF(BU8="",0,IF(BU8&lt;0.000000001,1,0))</f>
        <v>0</v>
      </c>
      <c r="BX8" s="15" t="n">
        <f aca="false">IF(BU8="",0,IF(BU8&lt;1*$U$15-0.000000001,1,0))</f>
        <v>0</v>
      </c>
      <c r="BZ8" s="15" t="n">
        <f aca="false">IFERROR(LARGE($AH$6:$AK$25,7),0)</f>
        <v>0</v>
      </c>
      <c r="CA8" s="15" t="n">
        <f aca="false">CA7+BZ8</f>
        <v>0</v>
      </c>
      <c r="CB8" s="15" t="n">
        <f aca="false">IFERROR(LARGE($AM$6:$AP$25,7),0)</f>
        <v>0</v>
      </c>
      <c r="CC8" s="15" t="n">
        <f aca="false">CC7+CB8</f>
        <v>0</v>
      </c>
      <c r="CE8" s="15" t="n">
        <f aca="false">36</f>
        <v>36</v>
      </c>
      <c r="CF8" s="15" t="n">
        <f aca="false">CE8-$U$5-$U$6-0</f>
        <v>16</v>
      </c>
      <c r="CG8" s="15" t="n">
        <f aca="false">MAX(0,CF8)</f>
        <v>16</v>
      </c>
      <c r="CH8" s="15" t="n">
        <f aca="false">MIN(CG8,$U$7)</f>
        <v>0</v>
      </c>
      <c r="CI8" s="15" t="n">
        <f aca="false">CG8-CH8</f>
        <v>16</v>
      </c>
      <c r="CJ8" s="15" t="n">
        <f aca="false">0</f>
        <v>0</v>
      </c>
      <c r="CK8" s="15" t="n">
        <f aca="false">$U$5+CH8+CJ8</f>
        <v>0</v>
      </c>
      <c r="CL8" s="15" t="n">
        <f aca="false">1*AW6+1*AX6+1*AW7+1*AX7</f>
        <v>0</v>
      </c>
      <c r="CM8" s="15" t="n">
        <f aca="false">1*AY6+1*AZ6+1*AY7+1*AZ7+1*AY8+1*AZ8+1*AY9+1*AZ9+1*AY10+1*AZ10+SUM($AA$12:$AA$25)</f>
        <v>0</v>
      </c>
      <c r="CN8" s="15" t="n">
        <f aca="false">IF(CH8=0,0,INDEX($CA$2:$CA$57,CH8))</f>
        <v>0</v>
      </c>
      <c r="CO8" s="15" t="n">
        <f aca="false">CL8+$U$11+CN8+CJ8*$U$2</f>
        <v>0</v>
      </c>
      <c r="CP8" s="15" t="n">
        <f aca="false">CM8+CH8+CJ8</f>
        <v>0</v>
      </c>
      <c r="CQ8" s="15" t="n">
        <f aca="false">IF(CP8&gt;0,MIN(600,INT((CO8/CP8*40)+0.5+0.000000001)),0)</f>
        <v>0</v>
      </c>
      <c r="CR8" s="15" t="n">
        <f aca="false">$U$9+CT8</f>
        <v>0</v>
      </c>
      <c r="CS8" s="15" t="n">
        <f aca="false">INT(CK8*0.2)</f>
        <v>0</v>
      </c>
      <c r="CT8" s="15" t="n">
        <f aca="false">$U$10+MAX(0,CH8-$U$8)+CJ8*IF($U$2&lt;5,1,0)</f>
        <v>0</v>
      </c>
      <c r="CU8" s="15" t="n">
        <f aca="false">$U$11+CN8+CJ8*$U$2</f>
        <v>0</v>
      </c>
      <c r="CV8" s="15" t="n">
        <f aca="false">IF(CQ8&gt;=200,1,0)</f>
        <v>0</v>
      </c>
      <c r="CW8" s="15" t="n">
        <f aca="false">IF(CR8&lt;=CS8,1,0)</f>
        <v>1</v>
      </c>
      <c r="CX8" s="15" t="n">
        <f aca="false">1</f>
        <v>1</v>
      </c>
      <c r="CY8" s="15" t="n">
        <f aca="false">1</f>
        <v>1</v>
      </c>
      <c r="CZ8" s="15" t="n">
        <f aca="false">1</f>
        <v>1</v>
      </c>
      <c r="DA8" s="15" t="n">
        <f aca="false">1</f>
        <v>1</v>
      </c>
      <c r="DB8" s="15" t="n">
        <f aca="false">IF($U$12=0,1,0)</f>
        <v>1</v>
      </c>
      <c r="DC8" s="15" t="n">
        <f aca="false">1</f>
        <v>1</v>
      </c>
      <c r="DD8" s="15" t="n">
        <f aca="false">1</f>
        <v>1</v>
      </c>
      <c r="DE8" s="15" t="n">
        <f aca="false">IF(CF8&lt;0,0,1)</f>
        <v>1</v>
      </c>
      <c r="DF8" s="15" t="n">
        <f aca="false">IF(CV8*CW8*CX8*CY8*CZ8*DA8*DB8*DC8*DD8*DE8=1,1,0)</f>
        <v>0</v>
      </c>
      <c r="DG8" s="15" t="n">
        <f aca="false">$U$6+CI8</f>
        <v>36</v>
      </c>
      <c r="DH8" s="15" t="n">
        <f aca="false">DF8*1000000+CQ8*100+(100-CK8)</f>
        <v>100</v>
      </c>
    </row>
    <row r="9" customFormat="false" ht="37.5" hidden="false" customHeight="true" outlineLevel="0" collapsed="false">
      <c r="B9" s="21" t="s">
        <v>403</v>
      </c>
      <c r="C9" s="22"/>
      <c r="D9" s="23" t="s">
        <v>148</v>
      </c>
      <c r="E9" s="24"/>
      <c r="F9" s="24"/>
      <c r="G9" s="24"/>
      <c r="H9" s="24"/>
      <c r="I9" s="25"/>
      <c r="J9" s="24"/>
      <c r="L9" s="31" t="s">
        <v>161</v>
      </c>
      <c r="M9" s="32" t="str">
        <f aca="false">IF($U$4=0,"",$U$67)</f>
        <v/>
      </c>
      <c r="N9" s="29" t="s">
        <v>162</v>
      </c>
      <c r="T9" s="15" t="s">
        <v>163</v>
      </c>
      <c r="U9" s="15" t="n">
        <f aca="false">BA6+BA7</f>
        <v>0</v>
      </c>
      <c r="V9" s="15" t="n">
        <f aca="false">BI6+BI7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IF(BN9="","",IF(ISNUMBER($J$9),INT(((2*BN9+$J$9)/3*$U$15)+0.5+0.000000001),BN9*$U$15))</f>
        <v/>
      </c>
      <c r="BP9" s="15" t="n">
        <f aca="false">IF(BO9="",0,IF(BO9&gt;=5*$U$15-0.000000001,1,0))</f>
        <v>0</v>
      </c>
      <c r="BQ9" s="15" t="n">
        <f aca="false">IF(BO9="",0,IF(BO9&lt;0.000000001,1,0))</f>
        <v>0</v>
      </c>
      <c r="BR9" s="15" t="n">
        <f aca="false">IF(BO9="",0,IF(BO9&lt;1*$U$15-0.000000001,1,0))</f>
        <v>0</v>
      </c>
      <c r="BT9" s="15" t="n">
        <f aca="false">IF(ISNUMBER($I$9),$I$9,$U$3)</f>
        <v>7</v>
      </c>
      <c r="BU9" s="15" t="n">
        <f aca="false">IF(BT9="","",IF(ISNUMBER($J$9),INT(((2*BT9+$J$9)/3*$U$15)+0.5+0.000000001),BT9*$U$15))</f>
        <v>28</v>
      </c>
      <c r="BV9" s="15" t="n">
        <f aca="false">IF(BU9="",0,IF(BU9&gt;=5*$U$15-0.000000001,1,0))</f>
        <v>1</v>
      </c>
      <c r="BW9" s="15" t="n">
        <f aca="false">IF(BU9="",0,IF(BU9&lt;0.000000001,1,0))</f>
        <v>0</v>
      </c>
      <c r="BX9" s="15" t="n">
        <f aca="false">IF(BU9="",0,IF(BU9&lt;1*$U$15-0.000000001,1,0))</f>
        <v>0</v>
      </c>
      <c r="BZ9" s="15" t="n">
        <f aca="false">IFERROR(LARGE($AH$6:$AK$25,8),0)</f>
        <v>0</v>
      </c>
      <c r="CA9" s="15" t="n">
        <f aca="false">CA8+BZ9</f>
        <v>0</v>
      </c>
      <c r="CB9" s="15" t="n">
        <f aca="false">IFERROR(LARGE($AM$6:$AP$25,8),0)</f>
        <v>0</v>
      </c>
      <c r="CC9" s="15" t="n">
        <f aca="false">CC8+CB9</f>
        <v>0</v>
      </c>
      <c r="CE9" s="15" t="n">
        <f aca="false">37</f>
        <v>37</v>
      </c>
      <c r="CF9" s="15" t="n">
        <f aca="false">CE9-$U$5-$U$6-0</f>
        <v>17</v>
      </c>
      <c r="CG9" s="15" t="n">
        <f aca="false">MAX(0,CF9)</f>
        <v>17</v>
      </c>
      <c r="CH9" s="15" t="n">
        <f aca="false">MIN(CG9,$U$7)</f>
        <v>0</v>
      </c>
      <c r="CI9" s="15" t="n">
        <f aca="false">CG9-CH9</f>
        <v>17</v>
      </c>
      <c r="CJ9" s="15" t="n">
        <f aca="false">0</f>
        <v>0</v>
      </c>
      <c r="CK9" s="15" t="n">
        <f aca="false">$U$5+CH9+CJ9</f>
        <v>0</v>
      </c>
      <c r="CL9" s="15" t="n">
        <f aca="false">1*AW6+1*AX6+1*AW7+1*AX7</f>
        <v>0</v>
      </c>
      <c r="CM9" s="15" t="n">
        <f aca="false">1*AY6+1*AZ6+1*AY7+1*AZ7+1*AY8+1*AZ8+1*AY9+1*AZ9+1*AY10+1*AZ10+SUM($AA$12:$AA$25)</f>
        <v>0</v>
      </c>
      <c r="CN9" s="15" t="n">
        <f aca="false">IF(CH9=0,0,INDEX($CA$2:$CA$57,CH9))</f>
        <v>0</v>
      </c>
      <c r="CO9" s="15" t="n">
        <f aca="false">CL9+$U$11+CN9+CJ9*$U$2</f>
        <v>0</v>
      </c>
      <c r="CP9" s="15" t="n">
        <f aca="false">CM9+CH9+CJ9</f>
        <v>0</v>
      </c>
      <c r="CQ9" s="15" t="n">
        <f aca="false">IF(CP9&gt;0,MIN(600,INT((CO9/CP9*40)+0.5+0.000000001)),0)</f>
        <v>0</v>
      </c>
      <c r="CR9" s="15" t="n">
        <f aca="false">$U$9+CT9</f>
        <v>0</v>
      </c>
      <c r="CS9" s="15" t="n">
        <f aca="false">INT(CK9*0.2)</f>
        <v>0</v>
      </c>
      <c r="CT9" s="15" t="n">
        <f aca="false">$U$10+MAX(0,CH9-$U$8)+CJ9*IF($U$2&lt;5,1,0)</f>
        <v>0</v>
      </c>
      <c r="CU9" s="15" t="n">
        <f aca="false">$U$11+CN9+CJ9*$U$2</f>
        <v>0</v>
      </c>
      <c r="CV9" s="15" t="n">
        <f aca="false">IF(CQ9&gt;=200,1,0)</f>
        <v>0</v>
      </c>
      <c r="CW9" s="15" t="n">
        <f aca="false">IF(CR9&lt;=CS9,1,0)</f>
        <v>1</v>
      </c>
      <c r="CX9" s="15" t="n">
        <f aca="false">1</f>
        <v>1</v>
      </c>
      <c r="CY9" s="15" t="n">
        <f aca="false">1</f>
        <v>1</v>
      </c>
      <c r="CZ9" s="15" t="n">
        <f aca="false">1</f>
        <v>1</v>
      </c>
      <c r="DA9" s="15" t="n">
        <f aca="false">1</f>
        <v>1</v>
      </c>
      <c r="DB9" s="15" t="n">
        <f aca="false">IF($U$12=0,1,0)</f>
        <v>1</v>
      </c>
      <c r="DC9" s="15" t="n">
        <f aca="false">1</f>
        <v>1</v>
      </c>
      <c r="DD9" s="15" t="n">
        <f aca="false">1</f>
        <v>1</v>
      </c>
      <c r="DE9" s="15" t="n">
        <f aca="false">IF(CF9&lt;0,0,1)</f>
        <v>1</v>
      </c>
      <c r="DF9" s="15" t="n">
        <f aca="false">IF(CV9*CW9*CX9*CY9*CZ9*DA9*DB9*DC9*DD9*DE9=1,1,0)</f>
        <v>0</v>
      </c>
      <c r="DG9" s="15" t="n">
        <f aca="false">$U$6+CI9</f>
        <v>37</v>
      </c>
      <c r="DH9" s="15" t="n">
        <f aca="false">DF9*1000000+CQ9*100+(100-CK9)</f>
        <v>100</v>
      </c>
    </row>
    <row r="10" customFormat="false" ht="27.75" hidden="false" customHeight="true" outlineLevel="0" collapsed="false">
      <c r="B10" s="21" t="s">
        <v>471</v>
      </c>
      <c r="C10" s="22"/>
      <c r="D10" s="23" t="s">
        <v>148</v>
      </c>
      <c r="E10" s="24"/>
      <c r="F10" s="24"/>
      <c r="G10" s="24"/>
      <c r="H10" s="24"/>
      <c r="I10" s="25"/>
      <c r="J10" s="30" t="s">
        <v>160</v>
      </c>
      <c r="L10" s="31" t="s">
        <v>165</v>
      </c>
      <c r="M10" s="33" t="str">
        <f aca="false">IF($U$4=0,"",IF($U$69=1,$U$70/10,"nicht bestanden"))</f>
        <v/>
      </c>
      <c r="N10" s="29"/>
      <c r="T10" s="15" t="s">
        <v>166</v>
      </c>
      <c r="U10" s="15" t="n">
        <f aca="false">BA8+BA9+BA10+SUM($AB$12:$AB$25)</f>
        <v>0</v>
      </c>
      <c r="V10" s="15" t="n">
        <f aca="false">BI8+BI9+BI10+SUM($AF$12:$AF$25)</f>
        <v>0</v>
      </c>
      <c r="AR10" s="15" t="n">
        <f aca="false">IF(ISNUMBER(E10),1,0)</f>
        <v>0</v>
      </c>
      <c r="AS10" s="15" t="n">
        <f aca="false">IF(ISNUMBER(F10),1,0)</f>
        <v>0</v>
      </c>
      <c r="AT10" s="15" t="n">
        <f aca="false">IF(ISNUMBER(G10),1,0)</f>
        <v>0</v>
      </c>
      <c r="AU10" s="15" t="n">
        <f aca="false">IF(ISNUMBER(H10),1,0)</f>
        <v>0</v>
      </c>
      <c r="AW10" s="15" t="n">
        <f aca="false">SUM(E10:G10)</f>
        <v>0</v>
      </c>
      <c r="AX10" s="15" t="n">
        <f aca="false">SUM(H10:H10)</f>
        <v>0</v>
      </c>
      <c r="AY10" s="15" t="n">
        <f aca="false">COUNT(E10:G10)</f>
        <v>0</v>
      </c>
      <c r="AZ10" s="15" t="n">
        <f aca="false">COUNT(H10:H10)</f>
        <v>0</v>
      </c>
      <c r="BA10" s="15" t="n">
        <f aca="false">COUNTIF(E10:H10,"&lt;5")</f>
        <v>0</v>
      </c>
      <c r="BB10" s="15" t="n">
        <f aca="false">COUNTIF(E10:H10,0)</f>
        <v>0</v>
      </c>
      <c r="BC10" s="15" t="n">
        <f aca="false">4-COUNT(E10:H10)</f>
        <v>4</v>
      </c>
      <c r="BD10" s="15" t="n">
        <f aca="false">SUM(E10:H10)</f>
        <v>0</v>
      </c>
      <c r="BE10" s="15" t="n">
        <f aca="false">SUM(E10:G10)+$U$2*(3-COUNT(E10:G10))</f>
        <v>21</v>
      </c>
      <c r="BF10" s="15" t="n">
        <f aca="false">SUM(H10:H10)+$U$2*(1-COUNT(H10:H10))</f>
        <v>7</v>
      </c>
      <c r="BG10" s="15" t="n">
        <f aca="false">3</f>
        <v>3</v>
      </c>
      <c r="BH10" s="15" t="n">
        <f aca="false">1</f>
        <v>1</v>
      </c>
      <c r="BI10" s="15" t="n">
        <f aca="false">COUNTIF(E10:H10,"&lt;5")+IF($U$2&lt;5,1,0)*(4-COUNT(E10:H10))</f>
        <v>0</v>
      </c>
      <c r="BJ10" s="15" t="n">
        <f aca="false">COUNTIF(E10:H10,0)</f>
        <v>0</v>
      </c>
      <c r="BK10" s="15" t="n">
        <f aca="false">0</f>
        <v>0</v>
      </c>
      <c r="BL10" s="15" t="n">
        <f aca="false">SUM(E10:H10)+$U$2*(4-COUNT(E10:H10))</f>
        <v>28</v>
      </c>
      <c r="BN10" s="15" t="str">
        <f aca="false">IF(ISNUMBER($I$10),$I$10,"")</f>
        <v/>
      </c>
      <c r="BO10" s="15" t="str">
        <f aca="false">IF(BN10="","",BN10*$U$15)</f>
        <v/>
      </c>
      <c r="BP10" s="15" t="n">
        <f aca="false">IF(BO10="",0,IF(BO10&gt;=5*$U$15-0.000000001,1,0))</f>
        <v>0</v>
      </c>
      <c r="BQ10" s="15" t="n">
        <f aca="false">IF(BO10="",0,IF(BO10&lt;0.000000001,1,0))</f>
        <v>0</v>
      </c>
      <c r="BR10" s="15" t="n">
        <f aca="false">0</f>
        <v>0</v>
      </c>
      <c r="BT10" s="15" t="n">
        <f aca="false">IF(ISNUMBER($I$10),$I$10,$U$3)</f>
        <v>7</v>
      </c>
      <c r="BU10" s="15" t="n">
        <f aca="false">IF(BT10="","",BT10*$U$15)</f>
        <v>28</v>
      </c>
      <c r="BV10" s="15" t="n">
        <f aca="false">IF(BU10="",0,IF(BU10&gt;=5*$U$15-0.000000001,1,0))</f>
        <v>1</v>
      </c>
      <c r="BW10" s="15" t="n">
        <f aca="false">IF(BU10="",0,IF(BU10&lt;0.000000001,1,0))</f>
        <v>0</v>
      </c>
      <c r="BX10" s="15" t="n">
        <f aca="false">0</f>
        <v>0</v>
      </c>
      <c r="BZ10" s="15" t="n">
        <f aca="false">IFERROR(LARGE($AH$6:$AK$25,9),0)</f>
        <v>0</v>
      </c>
      <c r="CA10" s="15" t="n">
        <f aca="false">CA9+BZ10</f>
        <v>0</v>
      </c>
      <c r="CB10" s="15" t="n">
        <f aca="false">IFERROR(LARGE($AM$6:$AP$25,9),0)</f>
        <v>0</v>
      </c>
      <c r="CC10" s="15" t="n">
        <f aca="false">CC9+CB10</f>
        <v>0</v>
      </c>
      <c r="CE10" s="15" t="n">
        <f aca="false">38</f>
        <v>38</v>
      </c>
      <c r="CF10" s="15" t="n">
        <f aca="false">CE10-$U$5-$U$6-0</f>
        <v>18</v>
      </c>
      <c r="CG10" s="15" t="n">
        <f aca="false">MAX(0,CF10)</f>
        <v>18</v>
      </c>
      <c r="CH10" s="15" t="n">
        <f aca="false">MIN(CG10,$U$7)</f>
        <v>0</v>
      </c>
      <c r="CI10" s="15" t="n">
        <f aca="false">CG10-CH10</f>
        <v>18</v>
      </c>
      <c r="CJ10" s="15" t="n">
        <f aca="false">0</f>
        <v>0</v>
      </c>
      <c r="CK10" s="15" t="n">
        <f aca="false">$U$5+CH10+CJ10</f>
        <v>0</v>
      </c>
      <c r="CL10" s="15" t="n">
        <f aca="false">1*AW6+1*AX6+1*AW7+1*AX7</f>
        <v>0</v>
      </c>
      <c r="CM10" s="15" t="n">
        <f aca="false">1*AY6+1*AZ6+1*AY7+1*AZ7+1*AY8+1*AZ8+1*AY9+1*AZ9+1*AY10+1*AZ10+SUM($AA$12:$AA$25)</f>
        <v>0</v>
      </c>
      <c r="CN10" s="15" t="n">
        <f aca="false">IF(CH10=0,0,INDEX($CA$2:$CA$57,CH10))</f>
        <v>0</v>
      </c>
      <c r="CO10" s="15" t="n">
        <f aca="false">CL10+$U$11+CN10+CJ10*$U$2</f>
        <v>0</v>
      </c>
      <c r="CP10" s="15" t="n">
        <f aca="false">CM10+CH10+CJ10</f>
        <v>0</v>
      </c>
      <c r="CQ10" s="15" t="n">
        <f aca="false">IF(CP10&gt;0,MIN(600,INT((CO10/CP10*40)+0.5+0.000000001)),0)</f>
        <v>0</v>
      </c>
      <c r="CR10" s="15" t="n">
        <f aca="false">$U$9+CT10</f>
        <v>0</v>
      </c>
      <c r="CS10" s="15" t="n">
        <f aca="false">INT(CK10*0.2)</f>
        <v>0</v>
      </c>
      <c r="CT10" s="15" t="n">
        <f aca="false">$U$10+MAX(0,CH10-$U$8)+CJ10*IF($U$2&lt;5,1,0)</f>
        <v>0</v>
      </c>
      <c r="CU10" s="15" t="n">
        <f aca="false">$U$11+CN10+CJ10*$U$2</f>
        <v>0</v>
      </c>
      <c r="CV10" s="15" t="n">
        <f aca="false">IF(CQ10&gt;=200,1,0)</f>
        <v>0</v>
      </c>
      <c r="CW10" s="15" t="n">
        <f aca="false">IF(CR10&lt;=CS10,1,0)</f>
        <v>1</v>
      </c>
      <c r="CX10" s="15" t="n">
        <f aca="false">1</f>
        <v>1</v>
      </c>
      <c r="CY10" s="15" t="n">
        <f aca="false">1</f>
        <v>1</v>
      </c>
      <c r="CZ10" s="15" t="n">
        <f aca="false">1</f>
        <v>1</v>
      </c>
      <c r="DA10" s="15" t="n">
        <f aca="false">1</f>
        <v>1</v>
      </c>
      <c r="DB10" s="15" t="n">
        <f aca="false">IF($U$12=0,1,0)</f>
        <v>1</v>
      </c>
      <c r="DC10" s="15" t="n">
        <f aca="false">1</f>
        <v>1</v>
      </c>
      <c r="DD10" s="15" t="n">
        <f aca="false">1</f>
        <v>1</v>
      </c>
      <c r="DE10" s="15" t="n">
        <f aca="false">IF(CF10&lt;0,0,1)</f>
        <v>1</v>
      </c>
      <c r="DF10" s="15" t="n">
        <f aca="false">IF(CV10*CW10*CX10*CY10*CZ10*DA10*DB10*DC10*DD10*DE10=1,1,0)</f>
        <v>0</v>
      </c>
      <c r="DG10" s="15" t="n">
        <f aca="false">$U$6+CI10</f>
        <v>38</v>
      </c>
      <c r="DH10" s="15" t="n">
        <f aca="false">DF10*1000000+CQ10*100+(100-CK10)</f>
        <v>100</v>
      </c>
    </row>
    <row r="11" customFormat="false" ht="15" hidden="false" customHeight="false" outlineLevel="0" collapsed="false">
      <c r="B11" s="6" t="s">
        <v>167</v>
      </c>
      <c r="C11" s="6" t="s">
        <v>112</v>
      </c>
      <c r="D11" s="34" t="s">
        <v>168</v>
      </c>
      <c r="E11" s="35" t="s">
        <v>113</v>
      </c>
      <c r="F11" s="35" t="s">
        <v>114</v>
      </c>
      <c r="G11" s="35" t="s">
        <v>115</v>
      </c>
      <c r="H11" s="35" t="s">
        <v>116</v>
      </c>
      <c r="I11" s="20"/>
      <c r="J11" s="20"/>
      <c r="L11" s="26" t="s">
        <v>169</v>
      </c>
      <c r="M11" s="28" t="str">
        <f aca="false">IF($U$4=0,"",IF($U$71="","–",$U$71))</f>
        <v/>
      </c>
      <c r="N11" s="29" t="str">
        <f aca="false">IF($U$4=0,"",IF($U$70="","Punkte bis 300",IF($U$71="","Bestnote erreicht","Punkte → "&amp;FIXED(($U$70-1)/10,1))))</f>
        <v/>
      </c>
      <c r="T11" s="15" t="s">
        <v>170</v>
      </c>
      <c r="U11" s="15" t="n">
        <f aca="false">AW8+AW9+AW10+AX8+AX9+AX10+SUM($Z$12:$Z$25)</f>
        <v>0</v>
      </c>
      <c r="V11" s="15" t="n">
        <f aca="false">BE8+BE9+BE10+BF8+BF9+BF10+SUM($AD$12:$AD$25)</f>
        <v>84</v>
      </c>
      <c r="X11" s="15" t="s">
        <v>171</v>
      </c>
      <c r="Y11" s="15" t="s">
        <v>172</v>
      </c>
      <c r="Z11" s="15" t="s">
        <v>173</v>
      </c>
      <c r="AA11" s="15" t="s">
        <v>174</v>
      </c>
      <c r="AB11" s="15" t="s">
        <v>127</v>
      </c>
      <c r="AC11" s="15" t="s">
        <v>128</v>
      </c>
      <c r="AD11" s="15" t="s">
        <v>175</v>
      </c>
      <c r="AE11" s="15" t="s">
        <v>176</v>
      </c>
      <c r="AF11" s="15" t="s">
        <v>135</v>
      </c>
      <c r="BZ11" s="15" t="n">
        <f aca="false">IFERROR(LARGE($AH$6:$AK$25,10),0)</f>
        <v>0</v>
      </c>
      <c r="CA11" s="15" t="n">
        <f aca="false">CA10+BZ11</f>
        <v>0</v>
      </c>
      <c r="CB11" s="15" t="n">
        <f aca="false">IFERROR(LARGE($AM$6:$AP$25,10),0)</f>
        <v>0</v>
      </c>
      <c r="CC11" s="15" t="n">
        <f aca="false">CC10+CB11</f>
        <v>0</v>
      </c>
      <c r="CE11" s="15" t="n">
        <f aca="false">39</f>
        <v>39</v>
      </c>
      <c r="CF11" s="15" t="n">
        <f aca="false">CE11-$U$5-$U$6-0</f>
        <v>19</v>
      </c>
      <c r="CG11" s="15" t="n">
        <f aca="false">MAX(0,CF11)</f>
        <v>19</v>
      </c>
      <c r="CH11" s="15" t="n">
        <f aca="false">MIN(CG11,$U$7)</f>
        <v>0</v>
      </c>
      <c r="CI11" s="15" t="n">
        <f aca="false">CG11-CH11</f>
        <v>19</v>
      </c>
      <c r="CJ11" s="15" t="n">
        <f aca="false">0</f>
        <v>0</v>
      </c>
      <c r="CK11" s="15" t="n">
        <f aca="false">$U$5+CH11+CJ11</f>
        <v>0</v>
      </c>
      <c r="CL11" s="15" t="n">
        <f aca="false">1*AW6+1*AX6+1*AW7+1*AX7</f>
        <v>0</v>
      </c>
      <c r="CM11" s="15" t="n">
        <f aca="false">1*AY6+1*AZ6+1*AY7+1*AZ7+1*AY8+1*AZ8+1*AY9+1*AZ9+1*AY10+1*AZ10+SUM($AA$12:$AA$25)</f>
        <v>0</v>
      </c>
      <c r="CN11" s="15" t="n">
        <f aca="false">IF(CH11=0,0,INDEX($CA$2:$CA$57,CH11))</f>
        <v>0</v>
      </c>
      <c r="CO11" s="15" t="n">
        <f aca="false">CL11+$U$11+CN11+CJ11*$U$2</f>
        <v>0</v>
      </c>
      <c r="CP11" s="15" t="n">
        <f aca="false">CM11+CH11+CJ11</f>
        <v>0</v>
      </c>
      <c r="CQ11" s="15" t="n">
        <f aca="false">IF(CP11&gt;0,MIN(600,INT((CO11/CP11*40)+0.5+0.000000001)),0)</f>
        <v>0</v>
      </c>
      <c r="CR11" s="15" t="n">
        <f aca="false">$U$9+CT11</f>
        <v>0</v>
      </c>
      <c r="CS11" s="15" t="n">
        <f aca="false">INT(CK11*0.2)</f>
        <v>0</v>
      </c>
      <c r="CT11" s="15" t="n">
        <f aca="false">$U$10+MAX(0,CH11-$U$8)+CJ11*IF($U$2&lt;5,1,0)</f>
        <v>0</v>
      </c>
      <c r="CU11" s="15" t="n">
        <f aca="false">$U$11+CN11+CJ11*$U$2</f>
        <v>0</v>
      </c>
      <c r="CV11" s="15" t="n">
        <f aca="false">IF(CQ11&gt;=200,1,0)</f>
        <v>0</v>
      </c>
      <c r="CW11" s="15" t="n">
        <f aca="false">IF(CR11&lt;=CS11,1,0)</f>
        <v>1</v>
      </c>
      <c r="CX11" s="15" t="n">
        <f aca="false">1</f>
        <v>1</v>
      </c>
      <c r="CY11" s="15" t="n">
        <f aca="false">1</f>
        <v>1</v>
      </c>
      <c r="CZ11" s="15" t="n">
        <f aca="false">1</f>
        <v>1</v>
      </c>
      <c r="DA11" s="15" t="n">
        <f aca="false">1</f>
        <v>1</v>
      </c>
      <c r="DB11" s="15" t="n">
        <f aca="false">IF($U$12=0,1,0)</f>
        <v>1</v>
      </c>
      <c r="DC11" s="15" t="n">
        <f aca="false">1</f>
        <v>1</v>
      </c>
      <c r="DD11" s="15" t="n">
        <f aca="false">1</f>
        <v>1</v>
      </c>
      <c r="DE11" s="15" t="n">
        <f aca="false">IF(CF11&lt;0,0,1)</f>
        <v>1</v>
      </c>
      <c r="DF11" s="15" t="n">
        <f aca="false">IF(CV11*CW11*CX11*CY11*CZ11*DA11*DB11*DC11*DD11*DE11=1,1,0)</f>
        <v>0</v>
      </c>
      <c r="DG11" s="15" t="n">
        <f aca="false">$U$6+CI11</f>
        <v>39</v>
      </c>
      <c r="DH11" s="15" t="n">
        <f aca="false">DF11*1000000+CQ11*100+(100-CK11)</f>
        <v>100</v>
      </c>
    </row>
    <row r="12" customFormat="false" ht="15" hidden="false" customHeight="false" outlineLevel="0" collapsed="false">
      <c r="B12" s="36" t="s">
        <v>177</v>
      </c>
      <c r="C12" s="37"/>
      <c r="D12" s="38"/>
      <c r="E12" s="24"/>
      <c r="F12" s="24"/>
      <c r="G12" s="24"/>
      <c r="H12" s="24"/>
      <c r="I12" s="39"/>
      <c r="J12" s="39"/>
      <c r="L12" s="26" t="s">
        <v>178</v>
      </c>
      <c r="M12" s="28" t="str">
        <f aca="false">IF(OR($U$4=0,$U$72=""),"",$U$72)</f>
        <v/>
      </c>
      <c r="N12" s="29" t="str">
        <f aca="false">IF(OR($U$4=0,$U$72=""),"","Punkte Luft")</f>
        <v/>
      </c>
      <c r="T12" s="15" t="s">
        <v>179</v>
      </c>
      <c r="U12" s="15" t="n">
        <f aca="false">BB6+BB7+BB8+BB9+BB10+SUM($AC$12:$AC$25)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IF(Y12=1,IF(ISNUMBER(E12),1,0),IF(AH12="",0,IF(IF($U$37=1,COUNTIF($AH$6:$AK$25,"&gt;"&amp;AH12),COUNTIF($AM$6:$AP$25,"&gt;"&amp;AH12))+COUNTIF($AH$6:$AK$11,AH12)+1&lt;=$U$47,1,0)))</f>
        <v>0</v>
      </c>
      <c r="AS12" s="15" t="n">
        <f aca="false">IF(Y12=1,IF(ISNUMBER(F12),1,0),IF(AI12="",0,IF(IF($U$37=1,COUNTIF($AH$6:$AK$25,"&gt;"&amp;AI12),COUNTIF($AM$6:$AP$25,"&gt;"&amp;AI12))+COUNTIF($AH$6:$AK$11,AI12)+COUNTIF($AH12:AH12,AI12)+1&lt;=$U$47,1,0)))</f>
        <v>0</v>
      </c>
      <c r="AT12" s="15" t="n">
        <f aca="false">IF(Y12=1,IF(ISNUMBER(G12),1,0),IF(AJ12="",0,IF(IF($U$37=1,COUNTIF($AH$6:$AK$25,"&gt;"&amp;AJ12),COUNTIF($AM$6:$AP$25,"&gt;"&amp;AJ12))+COUNTIF($AH$6:$AK$11,AJ12)+COUNTIF($AH12:AI12,AJ12)+1&lt;=$U$47,1,0)))</f>
        <v>0</v>
      </c>
      <c r="AU12" s="15" t="n">
        <f aca="false">IF(Y12=1,IF(ISNUMBER(H12),1,0),IF(AK12="",0,IF(IF($U$37=1,COUNTIF($AH$6:$AK$25,"&gt;"&amp;AK12),COUNTIF($AM$6:$AP$25,"&gt;"&amp;AK12))+COUNTIF($AH$6:$AK$11,AK12)+COUNTIF($AH12:AJ12,AK12)+1&lt;=$U$47,1,0)))</f>
        <v>0</v>
      </c>
      <c r="BZ12" s="15" t="n">
        <f aca="false">IFERROR(LARGE($AH$6:$AK$25,11),0)</f>
        <v>0</v>
      </c>
      <c r="CA12" s="15" t="n">
        <f aca="false">CA11+BZ12</f>
        <v>0</v>
      </c>
      <c r="CB12" s="15" t="n">
        <f aca="false">IFERROR(LARGE($AM$6:$AP$25,11),0)</f>
        <v>0</v>
      </c>
      <c r="CC12" s="15" t="n">
        <f aca="false">CC11+CB12</f>
        <v>0</v>
      </c>
      <c r="CE12" s="15" t="n">
        <f aca="false">40</f>
        <v>40</v>
      </c>
      <c r="CF12" s="15" t="n">
        <f aca="false">CE12-$U$5-$U$6-0</f>
        <v>20</v>
      </c>
      <c r="CG12" s="15" t="n">
        <f aca="false">MAX(0,CF12)</f>
        <v>20</v>
      </c>
      <c r="CH12" s="15" t="n">
        <f aca="false">MIN(CG12,$U$7)</f>
        <v>0</v>
      </c>
      <c r="CI12" s="15" t="n">
        <f aca="false">CG12-CH12</f>
        <v>20</v>
      </c>
      <c r="CJ12" s="15" t="n">
        <f aca="false">0</f>
        <v>0</v>
      </c>
      <c r="CK12" s="15" t="n">
        <f aca="false">$U$5+CH12+CJ12</f>
        <v>0</v>
      </c>
      <c r="CL12" s="15" t="n">
        <f aca="false">1*AW6+1*AX6+1*AW7+1*AX7</f>
        <v>0</v>
      </c>
      <c r="CM12" s="15" t="n">
        <f aca="false">1*AY6+1*AZ6+1*AY7+1*AZ7+1*AY8+1*AZ8+1*AY9+1*AZ9+1*AY10+1*AZ10+SUM($AA$12:$AA$25)</f>
        <v>0</v>
      </c>
      <c r="CN12" s="15" t="n">
        <f aca="false">IF(CH12=0,0,INDEX($CA$2:$CA$57,CH12))</f>
        <v>0</v>
      </c>
      <c r="CO12" s="15" t="n">
        <f aca="false">CL12+$U$11+CN12+CJ12*$U$2</f>
        <v>0</v>
      </c>
      <c r="CP12" s="15" t="n">
        <f aca="false">CM12+CH12+CJ12</f>
        <v>0</v>
      </c>
      <c r="CQ12" s="15" t="n">
        <f aca="false">IF(CP12&gt;0,MIN(600,INT((CO12/CP12*40)+0.5+0.000000001)),0)</f>
        <v>0</v>
      </c>
      <c r="CR12" s="15" t="n">
        <f aca="false">$U$9+CT12</f>
        <v>0</v>
      </c>
      <c r="CS12" s="15" t="n">
        <f aca="false">INT(CK12*0.2)</f>
        <v>0</v>
      </c>
      <c r="CT12" s="15" t="n">
        <f aca="false">$U$10+MAX(0,CH12-$U$8)+CJ12*IF($U$2&lt;5,1,0)</f>
        <v>0</v>
      </c>
      <c r="CU12" s="15" t="n">
        <f aca="false">$U$11+CN12+CJ12*$U$2</f>
        <v>0</v>
      </c>
      <c r="CV12" s="15" t="n">
        <f aca="false">IF(CQ12&gt;=200,1,0)</f>
        <v>0</v>
      </c>
      <c r="CW12" s="15" t="n">
        <f aca="false">IF(CR12&lt;=CS12,1,0)</f>
        <v>1</v>
      </c>
      <c r="CX12" s="15" t="n">
        <f aca="false">1</f>
        <v>1</v>
      </c>
      <c r="CY12" s="15" t="n">
        <f aca="false">1</f>
        <v>1</v>
      </c>
      <c r="CZ12" s="15" t="n">
        <f aca="false">1</f>
        <v>1</v>
      </c>
      <c r="DA12" s="15" t="n">
        <f aca="false">1</f>
        <v>1</v>
      </c>
      <c r="DB12" s="15" t="n">
        <f aca="false">IF($U$12=0,1,0)</f>
        <v>1</v>
      </c>
      <c r="DC12" s="15" t="n">
        <f aca="false">1</f>
        <v>1</v>
      </c>
      <c r="DD12" s="15" t="n">
        <f aca="false">1</f>
        <v>1</v>
      </c>
      <c r="DE12" s="15" t="n">
        <f aca="false">IF(CF12&lt;0,0,1)</f>
        <v>1</v>
      </c>
      <c r="DF12" s="15" t="n">
        <f aca="false">IF(CV12*CW12*CX12*CY12*CZ12*DA12*DB12*DC12*DD12*DE12=1,1,0)</f>
        <v>0</v>
      </c>
      <c r="DG12" s="15" t="n">
        <f aca="false">$U$6+CI12</f>
        <v>40</v>
      </c>
      <c r="DH12" s="15" t="n">
        <f aca="false">DF12*1000000+CQ12*100+(100-CK12)</f>
        <v>100</v>
      </c>
    </row>
    <row r="13" customFormat="false" ht="15" hidden="false" customHeight="false" outlineLevel="0" collapsed="false">
      <c r="B13" s="36" t="s">
        <v>180</v>
      </c>
      <c r="C13" s="37"/>
      <c r="D13" s="38"/>
      <c r="E13" s="24"/>
      <c r="F13" s="24"/>
      <c r="G13" s="24"/>
      <c r="H13" s="24"/>
      <c r="I13" s="39"/>
      <c r="J13" s="39"/>
      <c r="L13" s="26" t="s">
        <v>181</v>
      </c>
      <c r="M13" s="28" t="str">
        <f aca="false">IF($U$4=0,"",$U$39)</f>
        <v/>
      </c>
      <c r="N13" s="29" t="str">
        <f aca="false">IF($U$4=0,"","Formel: "&amp;FIXED($U$46,1)&amp;" / "&amp;$U$45&amp;" × 40")</f>
        <v/>
      </c>
      <c r="T13" s="15" t="s">
        <v>182</v>
      </c>
      <c r="U13" s="15" t="n">
        <f aca="false">MATCH(MAX($DH$3:$DH$12),$DH$3:$DH$12,0)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IF(Y13=1,IF(ISNUMBER(E13),1,0),IF(AH13="",0,IF(IF($U$37=1,COUNTIF($AH$6:$AK$25,"&gt;"&amp;AH13),COUNTIF($AM$6:$AP$25,"&gt;"&amp;AH13))+COUNTIF($AH$6:$AK$12,AH13)+1&lt;=$U$47,1,0)))</f>
        <v>0</v>
      </c>
      <c r="AS13" s="15" t="n">
        <f aca="false">IF(Y13=1,IF(ISNUMBER(F13),1,0),IF(AI13="",0,IF(IF($U$37=1,COUNTIF($AH$6:$AK$25,"&gt;"&amp;AI13),COUNTIF($AM$6:$AP$25,"&gt;"&amp;AI13))+COUNTIF($AH$6:$AK$12,AI13)+COUNTIF($AH13:AH13,AI13)+1&lt;=$U$47,1,0)))</f>
        <v>0</v>
      </c>
      <c r="AT13" s="15" t="n">
        <f aca="false">IF(Y13=1,IF(ISNUMBER(G13),1,0),IF(AJ13="",0,IF(IF($U$37=1,COUNTIF($AH$6:$AK$25,"&gt;"&amp;AJ13),COUNTIF($AM$6:$AP$25,"&gt;"&amp;AJ13))+COUNTIF($AH$6:$AK$12,AJ13)+COUNTIF($AH13:AI13,AJ13)+1&lt;=$U$47,1,0)))</f>
        <v>0</v>
      </c>
      <c r="AU13" s="15" t="n">
        <f aca="false">IF(Y13=1,IF(ISNUMBER(H13),1,0),IF(AK13="",0,IF(IF($U$37=1,COUNTIF($AH$6:$AK$25,"&gt;"&amp;AK13),COUNTIF($AM$6:$AP$25,"&gt;"&amp;AK13))+COUNTIF($AH$6:$AK$12,AK13)+COUNTIF($AH13:AJ13,AK13)+1&lt;=$U$47,1,0)))</f>
        <v>0</v>
      </c>
      <c r="BZ13" s="15" t="n">
        <f aca="false">IFERROR(LARGE($AH$6:$AK$25,12),0)</f>
        <v>0</v>
      </c>
      <c r="CA13" s="15" t="n">
        <f aca="false">CA12+BZ13</f>
        <v>0</v>
      </c>
      <c r="CB13" s="15" t="n">
        <f aca="false">IFERROR(LARGE($AM$6:$AP$25,12),0)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183</v>
      </c>
      <c r="C14" s="37"/>
      <c r="D14" s="38"/>
      <c r="E14" s="24"/>
      <c r="F14" s="24"/>
      <c r="G14" s="24"/>
      <c r="H14" s="24"/>
      <c r="I14" s="39"/>
      <c r="J14" s="39"/>
      <c r="L14" s="26" t="s">
        <v>184</v>
      </c>
      <c r="M14" s="28" t="str">
        <f aca="false">IF($U$4=0,"",$U$40)</f>
        <v/>
      </c>
      <c r="N14" s="29" t="str">
        <f aca="false">IF($U$4=0,"","erlaubt: höchstens "&amp;$U$41)</f>
        <v/>
      </c>
      <c r="T14" s="15" t="s">
        <v>185</v>
      </c>
      <c r="U14" s="15" t="n">
        <f aca="false">MATCH(MAX($DH$23:$DH$32),$DH$23:$DH$32,0)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IF(Y14=1,IF(ISNUMBER(E14),1,0),IF(AH14="",0,IF(IF($U$37=1,COUNTIF($AH$6:$AK$25,"&gt;"&amp;AH14),COUNTIF($AM$6:$AP$25,"&gt;"&amp;AH14))+COUNTIF($AH$6:$AK$13,AH14)+1&lt;=$U$47,1,0)))</f>
        <v>0</v>
      </c>
      <c r="AS14" s="15" t="n">
        <f aca="false">IF(Y14=1,IF(ISNUMBER(F14),1,0),IF(AI14="",0,IF(IF($U$37=1,COUNTIF($AH$6:$AK$25,"&gt;"&amp;AI14),COUNTIF($AM$6:$AP$25,"&gt;"&amp;AI14))+COUNTIF($AH$6:$AK$13,AI14)+COUNTIF($AH14:AH14,AI14)+1&lt;=$U$47,1,0)))</f>
        <v>0</v>
      </c>
      <c r="AT14" s="15" t="n">
        <f aca="false">IF(Y14=1,IF(ISNUMBER(G14),1,0),IF(AJ14="",0,IF(IF($U$37=1,COUNTIF($AH$6:$AK$25,"&gt;"&amp;AJ14),COUNTIF($AM$6:$AP$25,"&gt;"&amp;AJ14))+COUNTIF($AH$6:$AK$13,AJ14)+COUNTIF($AH14:AI14,AJ14)+1&lt;=$U$47,1,0)))</f>
        <v>0</v>
      </c>
      <c r="AU14" s="15" t="n">
        <f aca="false">IF(Y14=1,IF(ISNUMBER(H14),1,0),IF(AK14="",0,IF(IF($U$37=1,COUNTIF($AH$6:$AK$25,"&gt;"&amp;AK14),COUNTIF($AM$6:$AP$25,"&gt;"&amp;AK14))+COUNTIF($AH$6:$AK$13,AK14)+COUNTIF($AH14:AJ14,AK14)+1&lt;=$U$47,1,0)))</f>
        <v>0</v>
      </c>
      <c r="BZ14" s="15" t="n">
        <f aca="false">IFERROR(LARGE($AH$6:$AK$25,13),0)</f>
        <v>0</v>
      </c>
      <c r="CA14" s="15" t="n">
        <f aca="false">CA13+BZ14</f>
        <v>0</v>
      </c>
      <c r="CB14" s="15" t="n">
        <f aca="false">IFERROR(LARGE($AM$6:$AP$25,13),0)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186</v>
      </c>
      <c r="C15" s="37"/>
      <c r="D15" s="38"/>
      <c r="E15" s="24"/>
      <c r="F15" s="24"/>
      <c r="G15" s="24"/>
      <c r="H15" s="24"/>
      <c r="I15" s="39"/>
      <c r="J15" s="39"/>
      <c r="L15" s="26" t="s">
        <v>187</v>
      </c>
      <c r="M15" s="28" t="str">
        <f aca="false">IF($U$4=0,"","+"&amp;$U$15)</f>
        <v/>
      </c>
      <c r="N15" s="29" t="s">
        <v>188</v>
      </c>
      <c r="T15" s="15" t="s">
        <v>189</v>
      </c>
      <c r="U15" s="15" t="n">
        <f aca="false">4</f>
        <v>4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IF(Y15=1,IF(ISNUMBER(E15),1,0),IF(AH15="",0,IF(IF($U$37=1,COUNTIF($AH$6:$AK$25,"&gt;"&amp;AH15),COUNTIF($AM$6:$AP$25,"&gt;"&amp;AH15))+COUNTIF($AH$6:$AK$14,AH15)+1&lt;=$U$47,1,0)))</f>
        <v>0</v>
      </c>
      <c r="AS15" s="15" t="n">
        <f aca="false">IF(Y15=1,IF(ISNUMBER(F15),1,0),IF(AI15="",0,IF(IF($U$37=1,COUNTIF($AH$6:$AK$25,"&gt;"&amp;AI15),COUNTIF($AM$6:$AP$25,"&gt;"&amp;AI15))+COUNTIF($AH$6:$AK$14,AI15)+COUNTIF($AH15:AH15,AI15)+1&lt;=$U$47,1,0)))</f>
        <v>0</v>
      </c>
      <c r="AT15" s="15" t="n">
        <f aca="false">IF(Y15=1,IF(ISNUMBER(G15),1,0),IF(AJ15="",0,IF(IF($U$37=1,COUNTIF($AH$6:$AK$25,"&gt;"&amp;AJ15),COUNTIF($AM$6:$AP$25,"&gt;"&amp;AJ15))+COUNTIF($AH$6:$AK$14,AJ15)+COUNTIF($AH15:AI15,AJ15)+1&lt;=$U$47,1,0)))</f>
        <v>0</v>
      </c>
      <c r="AU15" s="15" t="n">
        <f aca="false">IF(Y15=1,IF(ISNUMBER(H15),1,0),IF(AK15="",0,IF(IF($U$37=1,COUNTIF($AH$6:$AK$25,"&gt;"&amp;AK15),COUNTIF($AM$6:$AP$25,"&gt;"&amp;AK15))+COUNTIF($AH$6:$AK$14,AK15)+COUNTIF($AH15:AJ15,AK15)+1&lt;=$U$47,1,0)))</f>
        <v>0</v>
      </c>
      <c r="BZ15" s="15" t="n">
        <f aca="false">IFERROR(LARGE($AH$6:$AK$25,14),0)</f>
        <v>0</v>
      </c>
      <c r="CA15" s="15" t="n">
        <f aca="false">CA14+BZ15</f>
        <v>0</v>
      </c>
      <c r="CB15" s="15" t="n">
        <f aca="false">IFERROR(LARGE($AM$6:$AP$25,14),0)</f>
        <v>0</v>
      </c>
      <c r="CC15" s="15" t="n">
        <f aca="false">CC14+CB15</f>
        <v>0</v>
      </c>
    </row>
    <row r="16" customFormat="false" ht="15" hidden="false" customHeight="false" outlineLevel="0" collapsed="false">
      <c r="B16" s="36" t="s">
        <v>190</v>
      </c>
      <c r="C16" s="37"/>
      <c r="D16" s="38"/>
      <c r="E16" s="24"/>
      <c r="F16" s="24"/>
      <c r="G16" s="24"/>
      <c r="H16" s="24"/>
      <c r="I16" s="39"/>
      <c r="J16" s="39"/>
      <c r="L16" s="26" t="s">
        <v>191</v>
      </c>
      <c r="M16" s="28" t="str">
        <f aca="false">IF($U$4=0,"","≈ +"&amp;FIXED(40/$U$45,2))</f>
        <v/>
      </c>
      <c r="N16" s="29" t="s">
        <v>192</v>
      </c>
      <c r="T16" s="15" t="s">
        <v>193</v>
      </c>
      <c r="U16" s="15" t="n">
        <f aca="false">MIN(300,INT((SUM(BO6,BO7,BO8,BO9,BO10))+0.5+0.000000001))</f>
        <v>0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IF(Y16=1,IF(ISNUMBER(E16),1,0),IF(AH16="",0,IF(IF($U$37=1,COUNTIF($AH$6:$AK$25,"&gt;"&amp;AH16),COUNTIF($AM$6:$AP$25,"&gt;"&amp;AH16))+COUNTIF($AH$6:$AK$15,AH16)+1&lt;=$U$47,1,0)))</f>
        <v>0</v>
      </c>
      <c r="AS16" s="15" t="n">
        <f aca="false">IF(Y16=1,IF(ISNUMBER(F16),1,0),IF(AI16="",0,IF(IF($U$37=1,COUNTIF($AH$6:$AK$25,"&gt;"&amp;AI16),COUNTIF($AM$6:$AP$25,"&gt;"&amp;AI16))+COUNTIF($AH$6:$AK$15,AI16)+COUNTIF($AH16:AH16,AI16)+1&lt;=$U$47,1,0)))</f>
        <v>0</v>
      </c>
      <c r="AT16" s="15" t="n">
        <f aca="false">IF(Y16=1,IF(ISNUMBER(G16),1,0),IF(AJ16="",0,IF(IF($U$37=1,COUNTIF($AH$6:$AK$25,"&gt;"&amp;AJ16),COUNTIF($AM$6:$AP$25,"&gt;"&amp;AJ16))+COUNTIF($AH$6:$AK$15,AJ16)+COUNTIF($AH16:AI16,AJ16)+1&lt;=$U$47,1,0)))</f>
        <v>0</v>
      </c>
      <c r="AU16" s="15" t="n">
        <f aca="false">IF(Y16=1,IF(ISNUMBER(H16),1,0),IF(AK16="",0,IF(IF($U$37=1,COUNTIF($AH$6:$AK$25,"&gt;"&amp;AK16),COUNTIF($AM$6:$AP$25,"&gt;"&amp;AK16))+COUNTIF($AH$6:$AK$15,AK16)+COUNTIF($AH16:AJ16,AK16)+1&lt;=$U$47,1,0)))</f>
        <v>0</v>
      </c>
      <c r="BZ16" s="15" t="n">
        <f aca="false">IFERROR(LARGE($AH$6:$AK$25,15),0)</f>
        <v>0</v>
      </c>
      <c r="CA16" s="15" t="n">
        <f aca="false">CA15+BZ16</f>
        <v>0</v>
      </c>
      <c r="CB16" s="15" t="n">
        <f aca="false">IFERROR(LARGE($AM$6:$AP$25,15),0)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194</v>
      </c>
      <c r="C17" s="37"/>
      <c r="D17" s="38"/>
      <c r="E17" s="24"/>
      <c r="F17" s="24"/>
      <c r="G17" s="24"/>
      <c r="H17" s="24"/>
      <c r="I17" s="39"/>
      <c r="J17" s="39"/>
      <c r="T17" s="15" t="s">
        <v>195</v>
      </c>
      <c r="U17" s="15" t="n">
        <f aca="false">SUM(BP6,BP7,BP8,BP9,BP10)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IF(Y17=1,IF(ISNUMBER(E17),1,0),IF(AH17="",0,IF(IF($U$37=1,COUNTIF($AH$6:$AK$25,"&gt;"&amp;AH17),COUNTIF($AM$6:$AP$25,"&gt;"&amp;AH17))+COUNTIF($AH$6:$AK$16,AH17)+1&lt;=$U$47,1,0)))</f>
        <v>0</v>
      </c>
      <c r="AS17" s="15" t="n">
        <f aca="false">IF(Y17=1,IF(ISNUMBER(F17),1,0),IF(AI17="",0,IF(IF($U$37=1,COUNTIF($AH$6:$AK$25,"&gt;"&amp;AI17),COUNTIF($AM$6:$AP$25,"&gt;"&amp;AI17))+COUNTIF($AH$6:$AK$16,AI17)+COUNTIF($AH17:AH17,AI17)+1&lt;=$U$47,1,0)))</f>
        <v>0</v>
      </c>
      <c r="AT17" s="15" t="n">
        <f aca="false">IF(Y17=1,IF(ISNUMBER(G17),1,0),IF(AJ17="",0,IF(IF($U$37=1,COUNTIF($AH$6:$AK$25,"&gt;"&amp;AJ17),COUNTIF($AM$6:$AP$25,"&gt;"&amp;AJ17))+COUNTIF($AH$6:$AK$16,AJ17)+COUNTIF($AH17:AI17,AJ17)+1&lt;=$U$47,1,0)))</f>
        <v>0</v>
      </c>
      <c r="AU17" s="15" t="n">
        <f aca="false">IF(Y17=1,IF(ISNUMBER(H17),1,0),IF(AK17="",0,IF(IF($U$37=1,COUNTIF($AH$6:$AK$25,"&gt;"&amp;AK17),COUNTIF($AM$6:$AP$25,"&gt;"&amp;AK17))+COUNTIF($AH$6:$AK$16,AK17)+COUNTIF($AH17:AJ17,AK17)+1&lt;=$U$47,1,0)))</f>
        <v>0</v>
      </c>
      <c r="BZ17" s="15" t="n">
        <f aca="false">IFERROR(LARGE($AH$6:$AK$25,16),0)</f>
        <v>0</v>
      </c>
      <c r="CA17" s="15" t="n">
        <f aca="false">CA16+BZ17</f>
        <v>0</v>
      </c>
      <c r="CB17" s="15" t="n">
        <f aca="false">IFERROR(LARGE($AM$6:$AP$25,16),0)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196</v>
      </c>
      <c r="C18" s="37"/>
      <c r="D18" s="38"/>
      <c r="E18" s="24"/>
      <c r="F18" s="24"/>
      <c r="G18" s="24"/>
      <c r="H18" s="24"/>
      <c r="I18" s="39"/>
      <c r="J18" s="39"/>
      <c r="L18" s="40" t="s">
        <v>197</v>
      </c>
      <c r="M18" s="41" t="s">
        <v>149</v>
      </c>
      <c r="N18" s="6" t="s">
        <v>198</v>
      </c>
      <c r="T18" s="15" t="s">
        <v>199</v>
      </c>
      <c r="U18" s="15" t="n">
        <f aca="false">BP6+BP7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IF(Y18=1,IF(ISNUMBER(E18),1,0),IF(AH18="",0,IF(IF($U$37=1,COUNTIF($AH$6:$AK$25,"&gt;"&amp;AH18),COUNTIF($AM$6:$AP$25,"&gt;"&amp;AH18))+COUNTIF($AH$6:$AK$17,AH18)+1&lt;=$U$47,1,0)))</f>
        <v>0</v>
      </c>
      <c r="AS18" s="15" t="n">
        <f aca="false">IF(Y18=1,IF(ISNUMBER(F18),1,0),IF(AI18="",0,IF(IF($U$37=1,COUNTIF($AH$6:$AK$25,"&gt;"&amp;AI18),COUNTIF($AM$6:$AP$25,"&gt;"&amp;AI18))+COUNTIF($AH$6:$AK$17,AI18)+COUNTIF($AH18:AH18,AI18)+1&lt;=$U$47,1,0)))</f>
        <v>0</v>
      </c>
      <c r="AT18" s="15" t="n">
        <f aca="false">IF(Y18=1,IF(ISNUMBER(G18),1,0),IF(AJ18="",0,IF(IF($U$37=1,COUNTIF($AH$6:$AK$25,"&gt;"&amp;AJ18),COUNTIF($AM$6:$AP$25,"&gt;"&amp;AJ18))+COUNTIF($AH$6:$AK$17,AJ18)+COUNTIF($AH18:AI18,AJ18)+1&lt;=$U$47,1,0)))</f>
        <v>0</v>
      </c>
      <c r="AU18" s="15" t="n">
        <f aca="false">IF(Y18=1,IF(ISNUMBER(H18),1,0),IF(AK18="",0,IF(IF($U$37=1,COUNTIF($AH$6:$AK$25,"&gt;"&amp;AK18),COUNTIF($AM$6:$AP$25,"&gt;"&amp;AK18))+COUNTIF($AH$6:$AK$17,AK18)+COUNTIF($AH18:AJ18,AK18)+1&lt;=$U$47,1,0)))</f>
        <v>0</v>
      </c>
      <c r="BZ18" s="15" t="n">
        <f aca="false">IFERROR(LARGE($AH$6:$AK$25,17),0)</f>
        <v>0</v>
      </c>
      <c r="CA18" s="15" t="n">
        <f aca="false">CA17+BZ18</f>
        <v>0</v>
      </c>
      <c r="CB18" s="15" t="n">
        <f aca="false">IFERROR(LARGE($AM$6:$AP$25,17),0)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200</v>
      </c>
      <c r="C19" s="37"/>
      <c r="D19" s="38"/>
      <c r="E19" s="24"/>
      <c r="F19" s="24"/>
      <c r="G19" s="24"/>
      <c r="H19" s="24"/>
      <c r="I19" s="39"/>
      <c r="J19" s="39"/>
      <c r="L19" s="42" t="s">
        <v>201</v>
      </c>
      <c r="M19" s="43" t="str">
        <f aca="false">IF($U$4=0,"",IF($U$49=1,"✓ erfüllt","✗ nicht erfüllt"))</f>
        <v/>
      </c>
      <c r="N19" s="36" t="str">
        <f aca="false">IF($U$4=0,"",$U$38&amp;" Punkte")</f>
        <v/>
      </c>
      <c r="T19" s="15" t="s">
        <v>202</v>
      </c>
      <c r="U19" s="15" t="n">
        <f aca="false">BQ6+BQ7+BQ8+BQ9+BQ10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IF(Y19=1,IF(ISNUMBER(E19),1,0),IF(AH19="",0,IF(IF($U$37=1,COUNTIF($AH$6:$AK$25,"&gt;"&amp;AH19),COUNTIF($AM$6:$AP$25,"&gt;"&amp;AH19))+COUNTIF($AH$6:$AK$18,AH19)+1&lt;=$U$47,1,0)))</f>
        <v>0</v>
      </c>
      <c r="AS19" s="15" t="n">
        <f aca="false">IF(Y19=1,IF(ISNUMBER(F19),1,0),IF(AI19="",0,IF(IF($U$37=1,COUNTIF($AH$6:$AK$25,"&gt;"&amp;AI19),COUNTIF($AM$6:$AP$25,"&gt;"&amp;AI19))+COUNTIF($AH$6:$AK$18,AI19)+COUNTIF($AH19:AH19,AI19)+1&lt;=$U$47,1,0)))</f>
        <v>0</v>
      </c>
      <c r="AT19" s="15" t="n">
        <f aca="false">IF(Y19=1,IF(ISNUMBER(G19),1,0),IF(AJ19="",0,IF(IF($U$37=1,COUNTIF($AH$6:$AK$25,"&gt;"&amp;AJ19),COUNTIF($AM$6:$AP$25,"&gt;"&amp;AJ19))+COUNTIF($AH$6:$AK$18,AJ19)+COUNTIF($AH19:AI19,AJ19)+1&lt;=$U$47,1,0)))</f>
        <v>0</v>
      </c>
      <c r="AU19" s="15" t="n">
        <f aca="false">IF(Y19=1,IF(ISNUMBER(H19),1,0),IF(AK19="",0,IF(IF($U$37=1,COUNTIF($AH$6:$AK$25,"&gt;"&amp;AK19),COUNTIF($AM$6:$AP$25,"&gt;"&amp;AK19))+COUNTIF($AH$6:$AK$18,AK19)+COUNTIF($AH19:AJ19,AK19)+1&lt;=$U$47,1,0)))</f>
        <v>0</v>
      </c>
      <c r="BZ19" s="15" t="n">
        <f aca="false">IFERROR(LARGE($AH$6:$AK$25,18),0)</f>
        <v>0</v>
      </c>
      <c r="CA19" s="15" t="n">
        <f aca="false">CA18+BZ19</f>
        <v>0</v>
      </c>
      <c r="CB19" s="15" t="n">
        <f aca="false">IFERROR(LARGE($AM$6:$AP$25,18),0)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203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"&amp;$U$41&amp;" Unterkurse (unter 5 Punkten)"</f>
        <v>Höchstens 7 Unterkurse (unter 5 Punkten)</v>
      </c>
      <c r="M20" s="43" t="str">
        <f aca="false">IF($U$4=0,"",IF($U$50=1,"✓ erfüllt","✗ nicht erfüllt"))</f>
        <v/>
      </c>
      <c r="N20" s="36" t="str">
        <f aca="false">IF($U$4=0,"",$U$40&amp;" Unterkurse")</f>
        <v/>
      </c>
      <c r="T20" s="15" t="s">
        <v>204</v>
      </c>
      <c r="U20" s="15" t="n">
        <f aca="false">BR6+BR7+BR8+BR9+BR10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IF(Y20=1,IF(ISNUMBER(E20),1,0),IF(AH20="",0,IF(IF($U$37=1,COUNTIF($AH$6:$AK$25,"&gt;"&amp;AH20),COUNTIF($AM$6:$AP$25,"&gt;"&amp;AH20))+COUNTIF($AH$6:$AK$19,AH20)+1&lt;=$U$47,1,0)))</f>
        <v>0</v>
      </c>
      <c r="AS20" s="15" t="n">
        <f aca="false">IF(Y20=1,IF(ISNUMBER(F20),1,0),IF(AI20="",0,IF(IF($U$37=1,COUNTIF($AH$6:$AK$25,"&gt;"&amp;AI20),COUNTIF($AM$6:$AP$25,"&gt;"&amp;AI20))+COUNTIF($AH$6:$AK$19,AI20)+COUNTIF($AH20:AH20,AI20)+1&lt;=$U$47,1,0)))</f>
        <v>0</v>
      </c>
      <c r="AT20" s="15" t="n">
        <f aca="false">IF(Y20=1,IF(ISNUMBER(G20),1,0),IF(AJ20="",0,IF(IF($U$37=1,COUNTIF($AH$6:$AK$25,"&gt;"&amp;AJ20),COUNTIF($AM$6:$AP$25,"&gt;"&amp;AJ20))+COUNTIF($AH$6:$AK$19,AJ20)+COUNTIF($AH20:AI20,AJ20)+1&lt;=$U$47,1,0)))</f>
        <v>0</v>
      </c>
      <c r="AU20" s="15" t="n">
        <f aca="false">IF(Y20=1,IF(ISNUMBER(H20),1,0),IF(AK20="",0,IF(IF($U$37=1,COUNTIF($AH$6:$AK$25,"&gt;"&amp;AK20),COUNTIF($AM$6:$AP$25,"&gt;"&amp;AK20))+COUNTIF($AH$6:$AK$19,AK20)+COUNTIF($AH20:AJ20,AK20)+1&lt;=$U$47,1,0)))</f>
        <v>0</v>
      </c>
      <c r="BZ20" s="15" t="n">
        <f aca="false">IFERROR(LARGE($AH$6:$AK$25,19),0)</f>
        <v>0</v>
      </c>
      <c r="CA20" s="15" t="n">
        <f aca="false">CA19+BZ20</f>
        <v>0</v>
      </c>
      <c r="CB20" s="15" t="n">
        <f aca="false">IFERROR(LARGE($AM$6:$AP$25,19),0)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205</v>
      </c>
      <c r="C21" s="37"/>
      <c r="D21" s="38"/>
      <c r="E21" s="24"/>
      <c r="F21" s="24"/>
      <c r="G21" s="24"/>
      <c r="H21" s="24"/>
      <c r="I21" s="39"/>
      <c r="J21" s="39"/>
      <c r="L21" s="42" t="s">
        <v>209</v>
      </c>
      <c r="M21" s="43" t="str">
        <f aca="false">IF($U$4=0,"",IF($U$55=1,"✓ erfüllt","✗ nicht erfüllt"))</f>
        <v/>
      </c>
      <c r="N21" s="36" t="str">
        <f aca="false">IF($U$4=0,"",$U$12&amp;" mit 0 Punkten")</f>
        <v/>
      </c>
      <c r="T21" s="15" t="s">
        <v>207</v>
      </c>
      <c r="U21" s="15" t="n">
        <f aca="false">MIN(300,INT((SUM(BU6,BU7,BU8,BU9,BU10))+0.5+0.000000001))</f>
        <v>140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IF(Y21=1,IF(ISNUMBER(E21),1,0),IF(AH21="",0,IF(IF($U$37=1,COUNTIF($AH$6:$AK$25,"&gt;"&amp;AH21),COUNTIF($AM$6:$AP$25,"&gt;"&amp;AH21))+COUNTIF($AH$6:$AK$20,AH21)+1&lt;=$U$47,1,0)))</f>
        <v>0</v>
      </c>
      <c r="AS21" s="15" t="n">
        <f aca="false">IF(Y21=1,IF(ISNUMBER(F21),1,0),IF(AI21="",0,IF(IF($U$37=1,COUNTIF($AH$6:$AK$25,"&gt;"&amp;AI21),COUNTIF($AM$6:$AP$25,"&gt;"&amp;AI21))+COUNTIF($AH$6:$AK$20,AI21)+COUNTIF($AH21:AH21,AI21)+1&lt;=$U$47,1,0)))</f>
        <v>0</v>
      </c>
      <c r="AT21" s="15" t="n">
        <f aca="false">IF(Y21=1,IF(ISNUMBER(G21),1,0),IF(AJ21="",0,IF(IF($U$37=1,COUNTIF($AH$6:$AK$25,"&gt;"&amp;AJ21),COUNTIF($AM$6:$AP$25,"&gt;"&amp;AJ21))+COUNTIF($AH$6:$AK$20,AJ21)+COUNTIF($AH21:AI21,AJ21)+1&lt;=$U$47,1,0)))</f>
        <v>0</v>
      </c>
      <c r="AU21" s="15" t="n">
        <f aca="false">IF(Y21=1,IF(ISNUMBER(H21),1,0),IF(AK21="",0,IF(IF($U$37=1,COUNTIF($AH$6:$AK$25,"&gt;"&amp;AK21),COUNTIF($AM$6:$AP$25,"&gt;"&amp;AK21))+COUNTIF($AH$6:$AK$20,AK21)+COUNTIF($AH21:AJ21,AK21)+1&lt;=$U$47,1,0)))</f>
        <v>0</v>
      </c>
      <c r="BZ21" s="15" t="n">
        <f aca="false">IFERROR(LARGE($AH$6:$AK$25,20),0)</f>
        <v>0</v>
      </c>
      <c r="CA21" s="15" t="n">
        <f aca="false">CA20+BZ21</f>
        <v>0</v>
      </c>
      <c r="CB21" s="15" t="n">
        <f aca="false">IFERROR(LARGE($AM$6:$AP$25,20),0)</f>
        <v>0</v>
      </c>
      <c r="CC21" s="15" t="n">
        <f aca="false">CC20+CB21</f>
        <v>0</v>
      </c>
    </row>
    <row r="22" customFormat="false" ht="22.35" hidden="false" customHeight="false" outlineLevel="0" collapsed="false">
      <c r="B22" s="36" t="s">
        <v>208</v>
      </c>
      <c r="C22" s="37"/>
      <c r="D22" s="38"/>
      <c r="E22" s="24"/>
      <c r="F22" s="24"/>
      <c r="G22" s="24"/>
      <c r="H22" s="24"/>
      <c r="I22" s="39"/>
      <c r="J22" s="39"/>
      <c r="L22" s="42" t="s">
        <v>212</v>
      </c>
      <c r="M22" s="43" t="str">
        <f aca="false">IF($U$4=0,"",IF($U$58=1,"✓ erfüllt","✗ nicht erfüllt"))</f>
        <v/>
      </c>
      <c r="N22" s="36"/>
      <c r="T22" s="15" t="s">
        <v>210</v>
      </c>
      <c r="U22" s="15" t="n">
        <f aca="false">SUM(BV6,BV7,BV8,BV9,BV10)</f>
        <v>5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IF(Y22=1,IF(ISNUMBER(E22),1,0),IF(AH22="",0,IF(IF($U$37=1,COUNTIF($AH$6:$AK$25,"&gt;"&amp;AH22),COUNTIF($AM$6:$AP$25,"&gt;"&amp;AH22))+COUNTIF($AH$6:$AK$21,AH22)+1&lt;=$U$47,1,0)))</f>
        <v>0</v>
      </c>
      <c r="AS22" s="15" t="n">
        <f aca="false">IF(Y22=1,IF(ISNUMBER(F22),1,0),IF(AI22="",0,IF(IF($U$37=1,COUNTIF($AH$6:$AK$25,"&gt;"&amp;AI22),COUNTIF($AM$6:$AP$25,"&gt;"&amp;AI22))+COUNTIF($AH$6:$AK$21,AI22)+COUNTIF($AH22:AH22,AI22)+1&lt;=$U$47,1,0)))</f>
        <v>0</v>
      </c>
      <c r="AT22" s="15" t="n">
        <f aca="false">IF(Y22=1,IF(ISNUMBER(G22),1,0),IF(AJ22="",0,IF(IF($U$37=1,COUNTIF($AH$6:$AK$25,"&gt;"&amp;AJ22),COUNTIF($AM$6:$AP$25,"&gt;"&amp;AJ22))+COUNTIF($AH$6:$AK$21,AJ22)+COUNTIF($AH22:AI22,AJ22)+1&lt;=$U$47,1,0)))</f>
        <v>0</v>
      </c>
      <c r="AU22" s="15" t="n">
        <f aca="false">IF(Y22=1,IF(ISNUMBER(H22),1,0),IF(AK22="",0,IF(IF($U$37=1,COUNTIF($AH$6:$AK$25,"&gt;"&amp;AK22),COUNTIF($AM$6:$AP$25,"&gt;"&amp;AK22))+COUNTIF($AH$6:$AK$21,AK22)+COUNTIF($AH22:AJ22,AK22)+1&lt;=$U$47,1,0)))</f>
        <v>0</v>
      </c>
      <c r="BZ22" s="15" t="n">
        <f aca="false">IFERROR(LARGE($AH$6:$AK$25,21),0)</f>
        <v>0</v>
      </c>
      <c r="CA22" s="15" t="n">
        <f aca="false">CA21+BZ22</f>
        <v>0</v>
      </c>
      <c r="CB22" s="15" t="n">
        <f aca="false">IFERROR(LARGE($AM$6:$AP$25,21),0)</f>
        <v>0</v>
      </c>
      <c r="CC22" s="15" t="n">
        <f aca="false">CC21+CB22</f>
        <v>0</v>
      </c>
      <c r="CE22" s="15" t="s">
        <v>79</v>
      </c>
      <c r="CF22" s="15" t="s">
        <v>80</v>
      </c>
      <c r="CG22" s="15" t="s">
        <v>81</v>
      </c>
      <c r="CH22" s="15" t="s">
        <v>82</v>
      </c>
      <c r="CI22" s="15" t="s">
        <v>83</v>
      </c>
      <c r="CJ22" s="15" t="s">
        <v>84</v>
      </c>
      <c r="CK22" s="15" t="s">
        <v>85</v>
      </c>
      <c r="CL22" s="15" t="s">
        <v>86</v>
      </c>
      <c r="CM22" s="15" t="s">
        <v>87</v>
      </c>
      <c r="CN22" s="15" t="s">
        <v>88</v>
      </c>
      <c r="CO22" s="15" t="s">
        <v>89</v>
      </c>
      <c r="CP22" s="15" t="s">
        <v>90</v>
      </c>
      <c r="CQ22" s="15" t="s">
        <v>91</v>
      </c>
      <c r="CR22" s="15" t="s">
        <v>92</v>
      </c>
      <c r="CS22" s="15" t="s">
        <v>93</v>
      </c>
      <c r="CT22" s="15" t="s">
        <v>94</v>
      </c>
      <c r="CU22" s="15" t="s">
        <v>95</v>
      </c>
      <c r="CV22" s="15" t="s">
        <v>96</v>
      </c>
      <c r="CW22" s="15" t="s">
        <v>97</v>
      </c>
      <c r="CX22" s="15" t="s">
        <v>98</v>
      </c>
      <c r="CY22" s="15" t="s">
        <v>99</v>
      </c>
      <c r="CZ22" s="15" t="s">
        <v>100</v>
      </c>
      <c r="DA22" s="15" t="s">
        <v>101</v>
      </c>
      <c r="DB22" s="15" t="s">
        <v>102</v>
      </c>
      <c r="DC22" s="15" t="s">
        <v>103</v>
      </c>
      <c r="DD22" s="15" t="s">
        <v>104</v>
      </c>
      <c r="DE22" s="15" t="s">
        <v>105</v>
      </c>
      <c r="DF22" s="15" t="s">
        <v>106</v>
      </c>
      <c r="DG22" s="15" t="s">
        <v>107</v>
      </c>
      <c r="DH22" s="15" t="s">
        <v>108</v>
      </c>
    </row>
    <row r="23" customFormat="false" ht="15" hidden="false" customHeight="false" outlineLevel="0" collapsed="false">
      <c r="B23" s="36" t="s">
        <v>211</v>
      </c>
      <c r="C23" s="37"/>
      <c r="D23" s="38"/>
      <c r="E23" s="24"/>
      <c r="F23" s="24"/>
      <c r="G23" s="24"/>
      <c r="H23" s="24"/>
      <c r="I23" s="39"/>
      <c r="J23" s="39"/>
      <c r="L23" s="42" t="s">
        <v>215</v>
      </c>
      <c r="M23" s="43" t="str">
        <f aca="false">IF($U$4=0,"",IF($U$63=1,"✓ erfüllt","✗ nicht erfüllt"))</f>
        <v/>
      </c>
      <c r="N23" s="36" t="str">
        <f aca="false">IF($U$4=0,"",$U$61&amp;" Punkte")</f>
        <v/>
      </c>
      <c r="T23" s="15" t="s">
        <v>213</v>
      </c>
      <c r="U23" s="15" t="n">
        <f aca="false">BV6+BV7</f>
        <v>2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IF(Y23=1,IF(ISNUMBER(E23),1,0),IF(AH23="",0,IF(IF($U$37=1,COUNTIF($AH$6:$AK$25,"&gt;"&amp;AH23),COUNTIF($AM$6:$AP$25,"&gt;"&amp;AH23))+COUNTIF($AH$6:$AK$22,AH23)+1&lt;=$U$47,1,0)))</f>
        <v>0</v>
      </c>
      <c r="AS23" s="15" t="n">
        <f aca="false">IF(Y23=1,IF(ISNUMBER(F23),1,0),IF(AI23="",0,IF(IF($U$37=1,COUNTIF($AH$6:$AK$25,"&gt;"&amp;AI23),COUNTIF($AM$6:$AP$25,"&gt;"&amp;AI23))+COUNTIF($AH$6:$AK$22,AI23)+COUNTIF($AH23:AH23,AI23)+1&lt;=$U$47,1,0)))</f>
        <v>0</v>
      </c>
      <c r="AT23" s="15" t="n">
        <f aca="false">IF(Y23=1,IF(ISNUMBER(G23),1,0),IF(AJ23="",0,IF(IF($U$37=1,COUNTIF($AH$6:$AK$25,"&gt;"&amp;AJ23),COUNTIF($AM$6:$AP$25,"&gt;"&amp;AJ23))+COUNTIF($AH$6:$AK$22,AJ23)+COUNTIF($AH23:AI23,AJ23)+1&lt;=$U$47,1,0)))</f>
        <v>0</v>
      </c>
      <c r="AU23" s="15" t="n">
        <f aca="false">IF(Y23=1,IF(ISNUMBER(H23),1,0),IF(AK23="",0,IF(IF($U$37=1,COUNTIF($AH$6:$AK$25,"&gt;"&amp;AK23),COUNTIF($AM$6:$AP$25,"&gt;"&amp;AK23))+COUNTIF($AH$6:$AK$22,AK23)+COUNTIF($AH23:AJ23,AK23)+1&lt;=$U$47,1,0)))</f>
        <v>0</v>
      </c>
      <c r="BZ23" s="15" t="n">
        <f aca="false">IFERROR(LARGE($AH$6:$AK$25,22),0)</f>
        <v>0</v>
      </c>
      <c r="CA23" s="15" t="n">
        <f aca="false">CA22+BZ23</f>
        <v>0</v>
      </c>
      <c r="CB23" s="15" t="n">
        <f aca="false">IFERROR(LARGE($AM$6:$AP$25,22),0)</f>
        <v>0</v>
      </c>
      <c r="CC23" s="15" t="n">
        <f aca="false">CC22+CB23</f>
        <v>0</v>
      </c>
      <c r="CE23" s="15" t="n">
        <f aca="false">36</f>
        <v>36</v>
      </c>
      <c r="CF23" s="15" t="n">
        <f aca="false">CE23-$V$5-$V$6-0</f>
        <v>16</v>
      </c>
      <c r="CG23" s="15" t="n">
        <f aca="false">MAX(0,CF23)</f>
        <v>16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16</v>
      </c>
      <c r="CK23" s="15" t="n">
        <f aca="false">$V$5+CH23+CJ23</f>
        <v>36</v>
      </c>
      <c r="CL23" s="15" t="n">
        <f aca="false">2*BE6+2*BF6+2*BE7+2*BF7</f>
        <v>112</v>
      </c>
      <c r="CM23" s="15" t="n">
        <f aca="false">2*BG6+2*BH6+2*BG7+2*BH7+1*BG8+1*BH8+1*BG9+1*BH9+1*BG10+1*BH10+SUM($AE$12:$AE$25)</f>
        <v>28</v>
      </c>
      <c r="CN23" s="15" t="n">
        <f aca="false">IF(CH23=0,0,INDEX($CC$2:$CC$57,CH23))</f>
        <v>0</v>
      </c>
      <c r="CO23" s="15" t="n">
        <f aca="false">CL23+$V$11+CN23+CJ23*$U$2</f>
        <v>308</v>
      </c>
      <c r="CP23" s="15" t="n">
        <f aca="false">CM23+CH23+CJ23</f>
        <v>44</v>
      </c>
      <c r="CQ23" s="15" t="n">
        <f aca="false">IF(CP23&gt;0,MIN(600,INT((CO23/CP23*40)+0.5+0.000000001)),0)</f>
        <v>280</v>
      </c>
      <c r="CR23" s="15" t="n">
        <f aca="false">$V$9+CT23</f>
        <v>0</v>
      </c>
      <c r="CS23" s="15" t="n">
        <f aca="false">INT(CK23*0.2)</f>
        <v>7</v>
      </c>
      <c r="CT23" s="15" t="n">
        <f aca="false">$V$10+MAX(0,CH23-$V$8)+CJ23*IF($U$2&lt;5,1,0)</f>
        <v>0</v>
      </c>
      <c r="CU23" s="15" t="n">
        <f aca="false">$V$11+CN23+CJ23*$U$2</f>
        <v>196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1</f>
        <v>1</v>
      </c>
      <c r="CY23" s="15" t="n">
        <f aca="false">1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1028064</v>
      </c>
    </row>
    <row r="24" customFormat="false" ht="22.35" hidden="false" customHeight="false" outlineLevel="0" collapsed="false">
      <c r="B24" s="36" t="s">
        <v>214</v>
      </c>
      <c r="C24" s="37"/>
      <c r="D24" s="38"/>
      <c r="E24" s="24"/>
      <c r="F24" s="24"/>
      <c r="G24" s="24"/>
      <c r="H24" s="24"/>
      <c r="I24" s="39"/>
      <c r="J24" s="39"/>
      <c r="L24" s="42" t="str">
        <f aca="false">"In mindestens "&amp;$U$26&amp;" Prüfungen mindestens 5 Punkte (einfach), davon eine im 1./2. Prüfungsfach"</f>
        <v>In mindestens 3 Prüfungen mindestens 5 Punkte (einfach), davon eine im 1./2. Prüfungsfach</v>
      </c>
      <c r="M24" s="43" t="str">
        <f aca="false">IF($U$4=0,"",IF($U$64=1,"✓ erfüllt","✗ nicht erfüllt"))</f>
        <v/>
      </c>
      <c r="N24" s="36" t="str">
        <f aca="false">IF($U$4=0,"",$U$62&amp;" Prüfungen")</f>
        <v/>
      </c>
      <c r="T24" s="15" t="s">
        <v>216</v>
      </c>
      <c r="U24" s="15" t="n">
        <f aca="false">BW6+BW7+BW8+BW9+BW10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IF(Y24=1,IF(ISNUMBER(E24),1,0),IF(AH24="",0,IF(IF($U$37=1,COUNTIF($AH$6:$AK$25,"&gt;"&amp;AH24),COUNTIF($AM$6:$AP$25,"&gt;"&amp;AH24))+COUNTIF($AH$6:$AK$23,AH24)+1&lt;=$U$47,1,0)))</f>
        <v>0</v>
      </c>
      <c r="AS24" s="15" t="n">
        <f aca="false">IF(Y24=1,IF(ISNUMBER(F24),1,0),IF(AI24="",0,IF(IF($U$37=1,COUNTIF($AH$6:$AK$25,"&gt;"&amp;AI24),COUNTIF($AM$6:$AP$25,"&gt;"&amp;AI24))+COUNTIF($AH$6:$AK$23,AI24)+COUNTIF($AH24:AH24,AI24)+1&lt;=$U$47,1,0)))</f>
        <v>0</v>
      </c>
      <c r="AT24" s="15" t="n">
        <f aca="false">IF(Y24=1,IF(ISNUMBER(G24),1,0),IF(AJ24="",0,IF(IF($U$37=1,COUNTIF($AH$6:$AK$25,"&gt;"&amp;AJ24),COUNTIF($AM$6:$AP$25,"&gt;"&amp;AJ24))+COUNTIF($AH$6:$AK$23,AJ24)+COUNTIF($AH24:AI24,AJ24)+1&lt;=$U$47,1,0)))</f>
        <v>0</v>
      </c>
      <c r="AU24" s="15" t="n">
        <f aca="false">IF(Y24=1,IF(ISNUMBER(H24),1,0),IF(AK24="",0,IF(IF($U$37=1,COUNTIF($AH$6:$AK$25,"&gt;"&amp;AK24),COUNTIF($AM$6:$AP$25,"&gt;"&amp;AK24))+COUNTIF($AH$6:$AK$23,AK24)+COUNTIF($AH24:AJ24,AK24)+1&lt;=$U$47,1,0)))</f>
        <v>0</v>
      </c>
      <c r="BZ24" s="15" t="n">
        <f aca="false">IFERROR(LARGE($AH$6:$AK$25,23),0)</f>
        <v>0</v>
      </c>
      <c r="CA24" s="15" t="n">
        <f aca="false">CA23+BZ24</f>
        <v>0</v>
      </c>
      <c r="CB24" s="15" t="n">
        <f aca="false">IFERROR(LARGE($AM$6:$AP$25,23),0)</f>
        <v>0</v>
      </c>
      <c r="CC24" s="15" t="n">
        <f aca="false">CC23+CB24</f>
        <v>0</v>
      </c>
      <c r="CE24" s="15" t="n">
        <f aca="false">37</f>
        <v>37</v>
      </c>
      <c r="CF24" s="15" t="n">
        <f aca="false">CE24-$V$5-$V$6-0</f>
        <v>17</v>
      </c>
      <c r="CG24" s="15" t="n">
        <f aca="false">MAX(0,CF24)</f>
        <v>17</v>
      </c>
      <c r="CH24" s="15" t="n">
        <f aca="false">MIN(CG24,$V$7)</f>
        <v>0</v>
      </c>
      <c r="CI24" s="15" t="n">
        <f aca="false">0</f>
        <v>0</v>
      </c>
      <c r="CJ24" s="15" t="n">
        <f aca="false">CG24-CH24</f>
        <v>17</v>
      </c>
      <c r="CK24" s="15" t="n">
        <f aca="false">$V$5+CH24+CJ24</f>
        <v>37</v>
      </c>
      <c r="CL24" s="15" t="n">
        <f aca="false">2*BE6+2*BF6+2*BE7+2*BF7</f>
        <v>112</v>
      </c>
      <c r="CM24" s="15" t="n">
        <f aca="false">2*BG6+2*BH6+2*BG7+2*BH7+1*BG8+1*BH8+1*BG9+1*BH9+1*BG10+1*BH10+SUM($AE$12:$AE$25)</f>
        <v>28</v>
      </c>
      <c r="CN24" s="15" t="n">
        <f aca="false">IF(CH24=0,0,INDEX($CC$2:$CC$57,CH24))</f>
        <v>0</v>
      </c>
      <c r="CO24" s="15" t="n">
        <f aca="false">CL24+$V$11+CN24+CJ24*$U$2</f>
        <v>315</v>
      </c>
      <c r="CP24" s="15" t="n">
        <f aca="false">CM24+CH24+CJ24</f>
        <v>45</v>
      </c>
      <c r="CQ24" s="15" t="n">
        <f aca="false">IF(CP24&gt;0,MIN(600,INT((CO24/CP24*40)+0.5+0.000000001)),0)</f>
        <v>280</v>
      </c>
      <c r="CR24" s="15" t="n">
        <f aca="false">$V$9+CT24</f>
        <v>0</v>
      </c>
      <c r="CS24" s="15" t="n">
        <f aca="false">INT(CK24*0.2)</f>
        <v>7</v>
      </c>
      <c r="CT24" s="15" t="n">
        <f aca="false">$V$10+MAX(0,CH24-$V$8)+CJ24*IF($U$2&lt;5,1,0)</f>
        <v>0</v>
      </c>
      <c r="CU24" s="15" t="n">
        <f aca="false">$V$11+CN24+CJ24*$U$2</f>
        <v>203</v>
      </c>
      <c r="CV24" s="15" t="n">
        <f aca="false">IF(CQ24&gt;=200,1,0)</f>
        <v>1</v>
      </c>
      <c r="CW24" s="15" t="n">
        <f aca="false">IF(CR24&lt;=CS24,1,0)</f>
        <v>1</v>
      </c>
      <c r="CX24" s="15" t="n">
        <f aca="false">1</f>
        <v>1</v>
      </c>
      <c r="CY24" s="15" t="n">
        <f aca="false">1</f>
        <v>1</v>
      </c>
      <c r="CZ24" s="15" t="n">
        <f aca="false">1</f>
        <v>1</v>
      </c>
      <c r="DA24" s="15" t="n">
        <f aca="false">1</f>
        <v>1</v>
      </c>
      <c r="DB24" s="15" t="n">
        <f aca="false">IF($U$12=0,1,0)</f>
        <v>1</v>
      </c>
      <c r="DC24" s="15" t="n">
        <f aca="false">1</f>
        <v>1</v>
      </c>
      <c r="DD24" s="15" t="n">
        <f aca="false">1</f>
        <v>1</v>
      </c>
      <c r="DE24" s="15" t="n">
        <f aca="false">IF(CF24&lt;0,0,1)</f>
        <v>1</v>
      </c>
      <c r="DF24" s="15" t="n">
        <f aca="false">IF(CV24*CW24*CX24*CY24*CZ24*DA24*DB24*DC24*DD24*DE24=1,1,0)</f>
        <v>1</v>
      </c>
      <c r="DG24" s="15" t="n">
        <f aca="false">$V$6+CI24</f>
        <v>0</v>
      </c>
      <c r="DH24" s="15" t="n">
        <f aca="false">DF24*1000000+CQ24*100+(100-CK24)</f>
        <v>1028063</v>
      </c>
    </row>
    <row r="25" customFormat="false" ht="15" hidden="false" customHeight="false" outlineLevel="0" collapsed="false">
      <c r="B25" s="36" t="s">
        <v>217</v>
      </c>
      <c r="C25" s="37"/>
      <c r="D25" s="38"/>
      <c r="E25" s="24"/>
      <c r="F25" s="24"/>
      <c r="G25" s="24"/>
      <c r="H25" s="24"/>
      <c r="I25" s="39"/>
      <c r="J25" s="39"/>
      <c r="L25" s="42" t="s">
        <v>219</v>
      </c>
      <c r="M25" s="43" t="str">
        <f aca="false">IF($U$4=0,"",IF($U$65=1,"✓ erfüllt","✗ nicht erfüllt"))</f>
        <v/>
      </c>
      <c r="N25" s="36"/>
      <c r="T25" s="15" t="s">
        <v>218</v>
      </c>
      <c r="U25" s="15" t="n">
        <f aca="false">BX6+BX7+BX8+BX9+BX10</f>
        <v>0</v>
      </c>
      <c r="X25" s="15" t="n">
        <f aca="false">IF(OR(LEN(TRIM(C25))&gt;0,COUNT(E25:H25)&gt;0),1,0)</f>
        <v>0</v>
      </c>
      <c r="Y25" s="15" t="n">
        <f aca="false">IF(LEN(TRIM(D25))&gt;0,1,0)</f>
        <v>0</v>
      </c>
      <c r="Z25" s="15" t="n">
        <f aca="false">Y25*SUM(E25:H25)</f>
        <v>0</v>
      </c>
      <c r="AA25" s="15" t="n">
        <f aca="false">Y25*COUNT(E25:H25)</f>
        <v>0</v>
      </c>
      <c r="AB25" s="15" t="n">
        <f aca="false">Y25*COUNTIF(E25:H25,"&lt;5")</f>
        <v>0</v>
      </c>
      <c r="AC25" s="15" t="n">
        <f aca="false">Y25*COUNTIF(E25:H25,0)</f>
        <v>0</v>
      </c>
      <c r="AD25" s="15" t="n">
        <f aca="false">Y25*(SUM(E25:H25)+X25*$U$2*(4-COUNT(E25:H25)))</f>
        <v>0</v>
      </c>
      <c r="AE25" s="15" t="n">
        <f aca="false">Y25*(COUNT(E25:H25)+X25*(4-COUNT(E25:H25)))</f>
        <v>0</v>
      </c>
      <c r="AF25" s="15" t="n">
        <f aca="false">Y25*(COUNTIF(E25:H25,"&lt;5")+X25*IF($U$2&lt;5,1,0)*(4-COUNT(E25:H25)))</f>
        <v>0</v>
      </c>
      <c r="AH25" s="15" t="str">
        <f aca="false">IF(Y25=1,"",IF(ISNUMBER(E25),IF(E25=0,"",E25),""))</f>
        <v/>
      </c>
      <c r="AI25" s="15" t="str">
        <f aca="false">IF(Y25=1,"",IF(ISNUMBER(F25),IF(F25=0,"",F25),""))</f>
        <v/>
      </c>
      <c r="AJ25" s="15" t="str">
        <f aca="false">IF(Y25=1,"",IF(ISNUMBER(G25),IF(G25=0,"",G25),""))</f>
        <v/>
      </c>
      <c r="AK25" s="15" t="str">
        <f aca="false">IF(Y25=1,"",IF(ISNUMBER(H25),IF(H25=0,"",H25),""))</f>
        <v/>
      </c>
      <c r="AM25" s="15" t="str">
        <f aca="false">IF(Y25=1,"",IF(ISNUMBER(E25),IF(E25=0,"",E25),IF(X25=1,$U$2,"")))</f>
        <v/>
      </c>
      <c r="AN25" s="15" t="str">
        <f aca="false">IF(Y25=1,"",IF(ISNUMBER(F25),IF(F25=0,"",F25),IF(X25=1,$U$2,"")))</f>
        <v/>
      </c>
      <c r="AO25" s="15" t="str">
        <f aca="false">IF(Y25=1,"",IF(ISNUMBER(G25),IF(G25=0,"",G25),IF(X25=1,$U$2,"")))</f>
        <v/>
      </c>
      <c r="AP25" s="15" t="str">
        <f aca="false">IF(Y25=1,"",IF(ISNUMBER(H25),IF(H25=0,"",H25),IF(X25=1,$U$2,"")))</f>
        <v/>
      </c>
      <c r="AR25" s="15" t="n">
        <f aca="false">IF(Y25=1,IF(ISNUMBER(E25),1,0),IF(AH25="",0,IF(IF($U$37=1,COUNTIF($AH$6:$AK$25,"&gt;"&amp;AH25),COUNTIF($AM$6:$AP$25,"&gt;"&amp;AH25))+COUNTIF($AH$6:$AK$24,AH25)+1&lt;=$U$47,1,0)))</f>
        <v>0</v>
      </c>
      <c r="AS25" s="15" t="n">
        <f aca="false">IF(Y25=1,IF(ISNUMBER(F25),1,0),IF(AI25="",0,IF(IF($U$37=1,COUNTIF($AH$6:$AK$25,"&gt;"&amp;AI25),COUNTIF($AM$6:$AP$25,"&gt;"&amp;AI25))+COUNTIF($AH$6:$AK$24,AI25)+COUNTIF($AH25:AH25,AI25)+1&lt;=$U$47,1,0)))</f>
        <v>0</v>
      </c>
      <c r="AT25" s="15" t="n">
        <f aca="false">IF(Y25=1,IF(ISNUMBER(G25),1,0),IF(AJ25="",0,IF(IF($U$37=1,COUNTIF($AH$6:$AK$25,"&gt;"&amp;AJ25),COUNTIF($AM$6:$AP$25,"&gt;"&amp;AJ25))+COUNTIF($AH$6:$AK$24,AJ25)+COUNTIF($AH25:AI25,AJ25)+1&lt;=$U$47,1,0)))</f>
        <v>0</v>
      </c>
      <c r="AU25" s="15" t="n">
        <f aca="false">IF(Y25=1,IF(ISNUMBER(H25),1,0),IF(AK25="",0,IF(IF($U$37=1,COUNTIF($AH$6:$AK$25,"&gt;"&amp;AK25),COUNTIF($AM$6:$AP$25,"&gt;"&amp;AK25))+COUNTIF($AH$6:$AK$24,AK25)+COUNTIF($AH25:AJ25,AK25)+1&lt;=$U$47,1,0)))</f>
        <v>0</v>
      </c>
      <c r="BZ25" s="15" t="n">
        <f aca="false">IFERROR(LARGE($AH$6:$AK$25,24),0)</f>
        <v>0</v>
      </c>
      <c r="CA25" s="15" t="n">
        <f aca="false">CA24+BZ25</f>
        <v>0</v>
      </c>
      <c r="CB25" s="15" t="n">
        <f aca="false">IFERROR(LARGE($AM$6:$AP$25,24),0)</f>
        <v>0</v>
      </c>
      <c r="CC25" s="15" t="n">
        <f aca="false">CC24+CB25</f>
        <v>0</v>
      </c>
      <c r="CE25" s="15" t="n">
        <f aca="false">38</f>
        <v>38</v>
      </c>
      <c r="CF25" s="15" t="n">
        <f aca="false">CE25-$V$5-$V$6-0</f>
        <v>18</v>
      </c>
      <c r="CG25" s="15" t="n">
        <f aca="false">MAX(0,CF25)</f>
        <v>18</v>
      </c>
      <c r="CH25" s="15" t="n">
        <f aca="false">MIN(CG25,$V$7)</f>
        <v>0</v>
      </c>
      <c r="CI25" s="15" t="n">
        <f aca="false">0</f>
        <v>0</v>
      </c>
      <c r="CJ25" s="15" t="n">
        <f aca="false">CG25-CH25</f>
        <v>18</v>
      </c>
      <c r="CK25" s="15" t="n">
        <f aca="false">$V$5+CH25+CJ25</f>
        <v>38</v>
      </c>
      <c r="CL25" s="15" t="n">
        <f aca="false">2*BE6+2*BF6+2*BE7+2*BF7</f>
        <v>112</v>
      </c>
      <c r="CM25" s="15" t="n">
        <f aca="false">2*BG6+2*BH6+2*BG7+2*BH7+1*BG8+1*BH8+1*BG9+1*BH9+1*BG10+1*BH10+SUM($AE$12:$AE$25)</f>
        <v>28</v>
      </c>
      <c r="CN25" s="15" t="n">
        <f aca="false">IF(CH25=0,0,INDEX($CC$2:$CC$57,CH25))</f>
        <v>0</v>
      </c>
      <c r="CO25" s="15" t="n">
        <f aca="false">CL25+$V$11+CN25+CJ25*$U$2</f>
        <v>322</v>
      </c>
      <c r="CP25" s="15" t="n">
        <f aca="false">CM25+CH25+CJ25</f>
        <v>46</v>
      </c>
      <c r="CQ25" s="15" t="n">
        <f aca="false">IF(CP25&gt;0,MIN(600,INT((CO25/CP25*40)+0.5+0.000000001)),0)</f>
        <v>280</v>
      </c>
      <c r="CR25" s="15" t="n">
        <f aca="false">$V$9+CT25</f>
        <v>0</v>
      </c>
      <c r="CS25" s="15" t="n">
        <f aca="false">INT(CK25*0.2)</f>
        <v>7</v>
      </c>
      <c r="CT25" s="15" t="n">
        <f aca="false">$V$10+MAX(0,CH25-$V$8)+CJ25*IF($U$2&lt;5,1,0)</f>
        <v>0</v>
      </c>
      <c r="CU25" s="15" t="n">
        <f aca="false">$V$11+CN25+CJ25*$U$2</f>
        <v>210</v>
      </c>
      <c r="CV25" s="15" t="n">
        <f aca="false">IF(CQ25&gt;=200,1,0)</f>
        <v>1</v>
      </c>
      <c r="CW25" s="15" t="n">
        <f aca="false">IF(CR25&lt;=CS25,1,0)</f>
        <v>1</v>
      </c>
      <c r="CX25" s="15" t="n">
        <f aca="false">1</f>
        <v>1</v>
      </c>
      <c r="CY25" s="15" t="n">
        <f aca="false">1</f>
        <v>1</v>
      </c>
      <c r="CZ25" s="15" t="n">
        <f aca="false">1</f>
        <v>1</v>
      </c>
      <c r="DA25" s="15" t="n">
        <f aca="false">1</f>
        <v>1</v>
      </c>
      <c r="DB25" s="15" t="n">
        <f aca="false">IF($U$12=0,1,0)</f>
        <v>1</v>
      </c>
      <c r="DC25" s="15" t="n">
        <f aca="false">1</f>
        <v>1</v>
      </c>
      <c r="DD25" s="15" t="n">
        <f aca="false">1</f>
        <v>1</v>
      </c>
      <c r="DE25" s="15" t="n">
        <f aca="false">IF(CF25&lt;0,0,1)</f>
        <v>1</v>
      </c>
      <c r="DF25" s="15" t="n">
        <f aca="false">IF(CV25*CW25*CX25*CY25*CZ25*DA25*DB25*DC25*DD25*DE25=1,1,0)</f>
        <v>1</v>
      </c>
      <c r="DG25" s="15" t="n">
        <f aca="false">$V$6+CI25</f>
        <v>0</v>
      </c>
      <c r="DH25" s="15" t="n">
        <f aca="false">DF25*1000000+CQ25*100+(100-CK25)</f>
        <v>1028062</v>
      </c>
    </row>
    <row r="26" customFormat="false" ht="15" hidden="false" customHeight="false" outlineLevel="0" collapsed="false">
      <c r="L26" s="42" t="s">
        <v>221</v>
      </c>
      <c r="M26" s="43" t="str">
        <f aca="false">IF($U$4=0,"",IF($U$68=1,"✓ erfüllt","✗ nicht erfüllt"))</f>
        <v/>
      </c>
      <c r="N26" s="36" t="str">
        <f aca="false">IF($U$4=0,"",$U$67&amp;" Punkte")</f>
        <v/>
      </c>
      <c r="T26" s="15" t="s">
        <v>220</v>
      </c>
      <c r="U26" s="15" t="n">
        <f aca="false">3</f>
        <v>3</v>
      </c>
      <c r="BZ26" s="15" t="n">
        <f aca="false">IFERROR(LARGE($AH$6:$AK$25,25),0)</f>
        <v>0</v>
      </c>
      <c r="CA26" s="15" t="n">
        <f aca="false">CA25+BZ26</f>
        <v>0</v>
      </c>
      <c r="CB26" s="15" t="n">
        <f aca="false">IFERROR(LARGE($AM$6:$AP$25,25),0)</f>
        <v>0</v>
      </c>
      <c r="CC26" s="15" t="n">
        <f aca="false">CC25+CB26</f>
        <v>0</v>
      </c>
      <c r="CE26" s="15" t="n">
        <f aca="false">39</f>
        <v>39</v>
      </c>
      <c r="CF26" s="15" t="n">
        <f aca="false">CE26-$V$5-$V$6-0</f>
        <v>19</v>
      </c>
      <c r="CG26" s="15" t="n">
        <f aca="false">MAX(0,CF26)</f>
        <v>19</v>
      </c>
      <c r="CH26" s="15" t="n">
        <f aca="false">MIN(CG26,$V$7)</f>
        <v>0</v>
      </c>
      <c r="CI26" s="15" t="n">
        <f aca="false">0</f>
        <v>0</v>
      </c>
      <c r="CJ26" s="15" t="n">
        <f aca="false">CG26-CH26</f>
        <v>19</v>
      </c>
      <c r="CK26" s="15" t="n">
        <f aca="false">$V$5+CH26+CJ26</f>
        <v>39</v>
      </c>
      <c r="CL26" s="15" t="n">
        <f aca="false">2*BE6+2*BF6+2*BE7+2*BF7</f>
        <v>112</v>
      </c>
      <c r="CM26" s="15" t="n">
        <f aca="false">2*BG6+2*BH6+2*BG7+2*BH7+1*BG8+1*BH8+1*BG9+1*BH9+1*BG10+1*BH10+SUM($AE$12:$AE$25)</f>
        <v>28</v>
      </c>
      <c r="CN26" s="15" t="n">
        <f aca="false">IF(CH26=0,0,INDEX($CC$2:$CC$57,CH26))</f>
        <v>0</v>
      </c>
      <c r="CO26" s="15" t="n">
        <f aca="false">CL26+$V$11+CN26+CJ26*$U$2</f>
        <v>329</v>
      </c>
      <c r="CP26" s="15" t="n">
        <f aca="false">CM26+CH26+CJ26</f>
        <v>47</v>
      </c>
      <c r="CQ26" s="15" t="n">
        <f aca="false">IF(CP26&gt;0,MIN(600,INT((CO26/CP26*40)+0.5+0.000000001)),0)</f>
        <v>280</v>
      </c>
      <c r="CR26" s="15" t="n">
        <f aca="false">$V$9+CT26</f>
        <v>0</v>
      </c>
      <c r="CS26" s="15" t="n">
        <f aca="false">INT(CK26*0.2)</f>
        <v>7</v>
      </c>
      <c r="CT26" s="15" t="n">
        <f aca="false">$V$10+MAX(0,CH26-$V$8)+CJ26*IF($U$2&lt;5,1,0)</f>
        <v>0</v>
      </c>
      <c r="CU26" s="15" t="n">
        <f aca="false">$V$11+CN26+CJ26*$U$2</f>
        <v>217</v>
      </c>
      <c r="CV26" s="15" t="n">
        <f aca="false">IF(CQ26&gt;=200,1,0)</f>
        <v>1</v>
      </c>
      <c r="CW26" s="15" t="n">
        <f aca="false">IF(CR26&lt;=CS26,1,0)</f>
        <v>1</v>
      </c>
      <c r="CX26" s="15" t="n">
        <f aca="false">1</f>
        <v>1</v>
      </c>
      <c r="CY26" s="15" t="n">
        <f aca="false">1</f>
        <v>1</v>
      </c>
      <c r="CZ26" s="15" t="n">
        <f aca="false">1</f>
        <v>1</v>
      </c>
      <c r="DA26" s="15" t="n">
        <f aca="false">1</f>
        <v>1</v>
      </c>
      <c r="DB26" s="15" t="n">
        <f aca="false">IF($U$12=0,1,0)</f>
        <v>1</v>
      </c>
      <c r="DC26" s="15" t="n">
        <f aca="false">1</f>
        <v>1</v>
      </c>
      <c r="DD26" s="15" t="n">
        <f aca="false">1</f>
        <v>1</v>
      </c>
      <c r="DE26" s="15" t="n">
        <f aca="false">IF(CF26&lt;0,0,1)</f>
        <v>1</v>
      </c>
      <c r="DF26" s="15" t="n">
        <f aca="false">IF(CV26*CW26*CX26*CY26*CZ26*DA26*DB26*DC26*DD26*DE26=1,1,0)</f>
        <v>1</v>
      </c>
      <c r="DG26" s="15" t="n">
        <f aca="false">$V$6+CI26</f>
        <v>0</v>
      </c>
      <c r="DH26" s="15" t="n">
        <f aca="false">DF26*1000000+CQ26*100+(100-CK26)</f>
        <v>1028061</v>
      </c>
    </row>
    <row r="27" customFormat="false" ht="15" hidden="false" customHeight="false" outlineLevel="0" collapsed="false">
      <c r="T27" s="15" t="s">
        <v>222</v>
      </c>
      <c r="U27" s="15" t="n">
        <f aca="false">IF(ISNUMBER($I$6),0,1)+IF(ISNUMBER($I$7),0,1)+IF(ISNUMBER($I$8),0,1)+IF(ISNUMBER($I$9),0,1)+IF(ISNUMBER($I$10),0,1)</f>
        <v>5</v>
      </c>
      <c r="BZ27" s="15" t="n">
        <f aca="false">IFERROR(LARGE($AH$6:$AK$25,26),0)</f>
        <v>0</v>
      </c>
      <c r="CA27" s="15" t="n">
        <f aca="false">CA26+BZ27</f>
        <v>0</v>
      </c>
      <c r="CB27" s="15" t="n">
        <f aca="false">IFERROR(LARGE($AM$6:$AP$25,26),0)</f>
        <v>0</v>
      </c>
      <c r="CC27" s="15" t="n">
        <f aca="false">CC26+CB27</f>
        <v>0</v>
      </c>
      <c r="CE27" s="15" t="n">
        <f aca="false">40</f>
        <v>40</v>
      </c>
      <c r="CF27" s="15" t="n">
        <f aca="false">CE27-$V$5-$V$6-0</f>
        <v>20</v>
      </c>
      <c r="CG27" s="15" t="n">
        <f aca="false">MAX(0,CF27)</f>
        <v>20</v>
      </c>
      <c r="CH27" s="15" t="n">
        <f aca="false">MIN(CG27,$V$7)</f>
        <v>0</v>
      </c>
      <c r="CI27" s="15" t="n">
        <f aca="false">0</f>
        <v>0</v>
      </c>
      <c r="CJ27" s="15" t="n">
        <f aca="false">CG27-CH27</f>
        <v>20</v>
      </c>
      <c r="CK27" s="15" t="n">
        <f aca="false">$V$5+CH27+CJ27</f>
        <v>40</v>
      </c>
      <c r="CL27" s="15" t="n">
        <f aca="false">2*BE6+2*BF6+2*BE7+2*BF7</f>
        <v>112</v>
      </c>
      <c r="CM27" s="15" t="n">
        <f aca="false">2*BG6+2*BH6+2*BG7+2*BH7+1*BG8+1*BH8+1*BG9+1*BH9+1*BG10+1*BH10+SUM($AE$12:$AE$25)</f>
        <v>28</v>
      </c>
      <c r="CN27" s="15" t="n">
        <f aca="false">IF(CH27=0,0,INDEX($CC$2:$CC$57,CH27))</f>
        <v>0</v>
      </c>
      <c r="CO27" s="15" t="n">
        <f aca="false">CL27+$V$11+CN27+CJ27*$U$2</f>
        <v>336</v>
      </c>
      <c r="CP27" s="15" t="n">
        <f aca="false">CM27+CH27+CJ27</f>
        <v>48</v>
      </c>
      <c r="CQ27" s="15" t="n">
        <f aca="false">IF(CP27&gt;0,MIN(600,INT((CO27/CP27*40)+0.5+0.000000001)),0)</f>
        <v>280</v>
      </c>
      <c r="CR27" s="15" t="n">
        <f aca="false">$V$9+CT27</f>
        <v>0</v>
      </c>
      <c r="CS27" s="15" t="n">
        <f aca="false">INT(CK27*0.2)</f>
        <v>8</v>
      </c>
      <c r="CT27" s="15" t="n">
        <f aca="false">$V$10+MAX(0,CH27-$V$8)+CJ27*IF($U$2&lt;5,1,0)</f>
        <v>0</v>
      </c>
      <c r="CU27" s="15" t="n">
        <f aca="false">$V$11+CN27+CJ27*$U$2</f>
        <v>224</v>
      </c>
      <c r="CV27" s="15" t="n">
        <f aca="false">IF(CQ27&gt;=200,1,0)</f>
        <v>1</v>
      </c>
      <c r="CW27" s="15" t="n">
        <f aca="false">IF(CR27&lt;=CS27,1,0)</f>
        <v>1</v>
      </c>
      <c r="CX27" s="15" t="n">
        <f aca="false">1</f>
        <v>1</v>
      </c>
      <c r="CY27" s="15" t="n">
        <f aca="false">1</f>
        <v>1</v>
      </c>
      <c r="CZ27" s="15" t="n">
        <f aca="false">1</f>
        <v>1</v>
      </c>
      <c r="DA27" s="15" t="n">
        <f aca="false">1</f>
        <v>1</v>
      </c>
      <c r="DB27" s="15" t="n">
        <f aca="false">IF($U$12=0,1,0)</f>
        <v>1</v>
      </c>
      <c r="DC27" s="15" t="n">
        <f aca="false">1</f>
        <v>1</v>
      </c>
      <c r="DD27" s="15" t="n">
        <f aca="false">1</f>
        <v>1</v>
      </c>
      <c r="DE27" s="15" t="n">
        <f aca="false">IF(CF27&lt;0,0,1)</f>
        <v>1</v>
      </c>
      <c r="DF27" s="15" t="n">
        <f aca="false">IF(CV27*CW27*CX27*CY27*CZ27*DA27*DB27*DC27*DD27*DE27=1,1,0)</f>
        <v>1</v>
      </c>
      <c r="DG27" s="15" t="n">
        <f aca="false">$V$6+CI27</f>
        <v>0</v>
      </c>
      <c r="DH27" s="15" t="n">
        <f aca="false">DF27*1000000+CQ27*100+(100-CK27)</f>
        <v>1028060</v>
      </c>
    </row>
    <row r="28" customFormat="false" ht="15" hidden="false" customHeight="false" outlineLevel="0" collapsed="false">
      <c r="B28" s="5" t="s">
        <v>472</v>
      </c>
      <c r="L28" s="44" t="s">
        <v>226</v>
      </c>
      <c r="T28" s="15" t="s">
        <v>224</v>
      </c>
      <c r="U28" s="15" t="n">
        <f aca="false">IF($U$16&gt;=100,1,0)</f>
        <v>0</v>
      </c>
      <c r="BZ28" s="15" t="n">
        <f aca="false">IFERROR(LARGE($AH$6:$AK$25,27),0)</f>
        <v>0</v>
      </c>
      <c r="CA28" s="15" t="n">
        <f aca="false">CA27+BZ28</f>
        <v>0</v>
      </c>
      <c r="CB28" s="15" t="n">
        <f aca="false">IFERROR(LARGE($AM$6:$AP$25,27),0)</f>
        <v>0</v>
      </c>
      <c r="CC28" s="15" t="n">
        <f aca="false">CC27+CB28</f>
        <v>0</v>
      </c>
      <c r="CE28" s="15" t="n">
        <f aca="false">36</f>
        <v>36</v>
      </c>
      <c r="CF28" s="15" t="n">
        <f aca="false">CE28-$V$5-$V$6-0</f>
        <v>16</v>
      </c>
      <c r="CG28" s="15" t="n">
        <f aca="false">MAX(0,CF28)</f>
        <v>16</v>
      </c>
      <c r="CH28" s="15" t="n">
        <f aca="false">MIN(CG28,$V$7)</f>
        <v>0</v>
      </c>
      <c r="CI28" s="15" t="n">
        <f aca="false">0</f>
        <v>0</v>
      </c>
      <c r="CJ28" s="15" t="n">
        <f aca="false">CG28-CH28</f>
        <v>16</v>
      </c>
      <c r="CK28" s="15" t="n">
        <f aca="false">$V$5+CH28+CJ28</f>
        <v>36</v>
      </c>
      <c r="CL28" s="15" t="n">
        <f aca="false">1*BE6+1*BF6+1*BE7+1*BF7</f>
        <v>56</v>
      </c>
      <c r="CM28" s="15" t="n">
        <f aca="false">1*BG6+1*BH6+1*BG7+1*BH7+1*BG8+1*BH8+1*BG9+1*BH9+1*BG10+1*BH10+SUM($AE$12:$AE$25)</f>
        <v>20</v>
      </c>
      <c r="CN28" s="15" t="n">
        <f aca="false">IF(CH28=0,0,INDEX($CC$2:$CC$57,CH28))</f>
        <v>0</v>
      </c>
      <c r="CO28" s="15" t="n">
        <f aca="false">CL28+$V$11+CN28+CJ28*$U$2</f>
        <v>252</v>
      </c>
      <c r="CP28" s="15" t="n">
        <f aca="false">CM28+CH28+CJ28</f>
        <v>36</v>
      </c>
      <c r="CQ28" s="15" t="n">
        <f aca="false">IF(CP28&gt;0,MIN(600,INT((CO28/CP28*40)+0.5+0.000000001)),0)</f>
        <v>280</v>
      </c>
      <c r="CR28" s="15" t="n">
        <f aca="false">$V$9+CT28</f>
        <v>0</v>
      </c>
      <c r="CS28" s="15" t="n">
        <f aca="false">INT(CK28*0.2)</f>
        <v>7</v>
      </c>
      <c r="CT28" s="15" t="n">
        <f aca="false">$V$10+MAX(0,CH28-$V$8)+CJ28*IF($U$2&lt;5,1,0)</f>
        <v>0</v>
      </c>
      <c r="CU28" s="15" t="n">
        <f aca="false">$V$11+CN28+CJ28*$U$2</f>
        <v>196</v>
      </c>
      <c r="CV28" s="15" t="n">
        <f aca="false">IF(CQ28&gt;=200,1,0)</f>
        <v>1</v>
      </c>
      <c r="CW28" s="15" t="n">
        <f aca="false">IF(CR28&lt;=CS28,1,0)</f>
        <v>1</v>
      </c>
      <c r="CX28" s="15" t="n">
        <f aca="false">1</f>
        <v>1</v>
      </c>
      <c r="CY28" s="15" t="n">
        <f aca="false">1</f>
        <v>1</v>
      </c>
      <c r="CZ28" s="15" t="n">
        <f aca="false">1</f>
        <v>1</v>
      </c>
      <c r="DA28" s="15" t="n">
        <f aca="false">1</f>
        <v>1</v>
      </c>
      <c r="DB28" s="15" t="n">
        <f aca="false">IF($U$12=0,1,0)</f>
        <v>1</v>
      </c>
      <c r="DC28" s="15" t="n">
        <f aca="false">1</f>
        <v>1</v>
      </c>
      <c r="DD28" s="15" t="n">
        <f aca="false">1</f>
        <v>1</v>
      </c>
      <c r="DE28" s="15" t="n">
        <f aca="false">IF(CF28&lt;0,0,1)</f>
        <v>1</v>
      </c>
      <c r="DF28" s="15" t="n">
        <f aca="false">IF(CV28*CW28*CX28*CY28*CZ28*DA28*DB28*DC28*DD28*DE28=1,1,0)</f>
        <v>1</v>
      </c>
      <c r="DG28" s="15" t="n">
        <f aca="false">$V$6+CI28</f>
        <v>0</v>
      </c>
      <c r="DH28" s="15" t="n">
        <f aca="false">DF28*1000000+CQ28*100+(100-CK28)</f>
        <v>1028064</v>
      </c>
    </row>
    <row r="29" customFormat="false" ht="15" hidden="false" customHeight="false" outlineLevel="0" collapsed="false">
      <c r="B29" s="12" t="s">
        <v>473</v>
      </c>
      <c r="L29" s="8" t="s">
        <v>229</v>
      </c>
      <c r="T29" s="15" t="s">
        <v>227</v>
      </c>
      <c r="U29" s="15" t="n">
        <f aca="false">IF(AND($U$17&gt;=$U$26,$U$18&gt;=1),1,0)</f>
        <v>0</v>
      </c>
      <c r="BZ29" s="15" t="n">
        <f aca="false">IFERROR(LARGE($AH$6:$AK$25,28),0)</f>
        <v>0</v>
      </c>
      <c r="CA29" s="15" t="n">
        <f aca="false">CA28+BZ29</f>
        <v>0</v>
      </c>
      <c r="CB29" s="15" t="n">
        <f aca="false">IFERROR(LARGE($AM$6:$AP$25,28),0)</f>
        <v>0</v>
      </c>
      <c r="CC29" s="15" t="n">
        <f aca="false">CC28+CB29</f>
        <v>0</v>
      </c>
      <c r="CE29" s="15" t="n">
        <f aca="false">37</f>
        <v>37</v>
      </c>
      <c r="CF29" s="15" t="n">
        <f aca="false">CE29-$V$5-$V$6-0</f>
        <v>17</v>
      </c>
      <c r="CG29" s="15" t="n">
        <f aca="false">MAX(0,CF29)</f>
        <v>17</v>
      </c>
      <c r="CH29" s="15" t="n">
        <f aca="false">MIN(CG29,$V$7)</f>
        <v>0</v>
      </c>
      <c r="CI29" s="15" t="n">
        <f aca="false">0</f>
        <v>0</v>
      </c>
      <c r="CJ29" s="15" t="n">
        <f aca="false">CG29-CH29</f>
        <v>17</v>
      </c>
      <c r="CK29" s="15" t="n">
        <f aca="false">$V$5+CH29+CJ29</f>
        <v>37</v>
      </c>
      <c r="CL29" s="15" t="n">
        <f aca="false">1*BE6+1*BF6+1*BE7+1*BF7</f>
        <v>56</v>
      </c>
      <c r="CM29" s="15" t="n">
        <f aca="false">1*BG6+1*BH6+1*BG7+1*BH7+1*BG8+1*BH8+1*BG9+1*BH9+1*BG10+1*BH10+SUM($AE$12:$AE$25)</f>
        <v>20</v>
      </c>
      <c r="CN29" s="15" t="n">
        <f aca="false">IF(CH29=0,0,INDEX($CC$2:$CC$57,CH29))</f>
        <v>0</v>
      </c>
      <c r="CO29" s="15" t="n">
        <f aca="false">CL29+$V$11+CN29+CJ29*$U$2</f>
        <v>259</v>
      </c>
      <c r="CP29" s="15" t="n">
        <f aca="false">CM29+CH29+CJ29</f>
        <v>37</v>
      </c>
      <c r="CQ29" s="15" t="n">
        <f aca="false">IF(CP29&gt;0,MIN(600,INT((CO29/CP29*40)+0.5+0.000000001)),0)</f>
        <v>280</v>
      </c>
      <c r="CR29" s="15" t="n">
        <f aca="false">$V$9+CT29</f>
        <v>0</v>
      </c>
      <c r="CS29" s="15" t="n">
        <f aca="false">INT(CK29*0.2)</f>
        <v>7</v>
      </c>
      <c r="CT29" s="15" t="n">
        <f aca="false">$V$10+MAX(0,CH29-$V$8)+CJ29*IF($U$2&lt;5,1,0)</f>
        <v>0</v>
      </c>
      <c r="CU29" s="15" t="n">
        <f aca="false">$V$11+CN29+CJ29*$U$2</f>
        <v>203</v>
      </c>
      <c r="CV29" s="15" t="n">
        <f aca="false">IF(CQ29&gt;=200,1,0)</f>
        <v>1</v>
      </c>
      <c r="CW29" s="15" t="n">
        <f aca="false">IF(CR29&lt;=CS29,1,0)</f>
        <v>1</v>
      </c>
      <c r="CX29" s="15" t="n">
        <f aca="false">1</f>
        <v>1</v>
      </c>
      <c r="CY29" s="15" t="n">
        <f aca="false">1</f>
        <v>1</v>
      </c>
      <c r="CZ29" s="15" t="n">
        <f aca="false">1</f>
        <v>1</v>
      </c>
      <c r="DA29" s="15" t="n">
        <f aca="false">1</f>
        <v>1</v>
      </c>
      <c r="DB29" s="15" t="n">
        <f aca="false">IF($U$12=0,1,0)</f>
        <v>1</v>
      </c>
      <c r="DC29" s="15" t="n">
        <f aca="false">1</f>
        <v>1</v>
      </c>
      <c r="DD29" s="15" t="n">
        <f aca="false">1</f>
        <v>1</v>
      </c>
      <c r="DE29" s="15" t="n">
        <f aca="false">IF(CF29&lt;0,0,1)</f>
        <v>1</v>
      </c>
      <c r="DF29" s="15" t="n">
        <f aca="false">IF(CV29*CW29*CX29*CY29*CZ29*DA29*DB29*DC29*DD29*DE29=1,1,0)</f>
        <v>1</v>
      </c>
      <c r="DG29" s="15" t="n">
        <f aca="false">$V$6+CI29</f>
        <v>0</v>
      </c>
      <c r="DH29" s="15" t="n">
        <f aca="false">DF29*1000000+CQ29*100+(100-CK29)</f>
        <v>1028063</v>
      </c>
    </row>
    <row r="30" customFormat="false" ht="15" hidden="false" customHeight="false" outlineLevel="0" collapsed="false">
      <c r="B30" s="12" t="s">
        <v>474</v>
      </c>
      <c r="L30" s="45" t="s">
        <v>232</v>
      </c>
      <c r="T30" s="15" t="s">
        <v>230</v>
      </c>
      <c r="U30" s="15" t="n">
        <f aca="false">IF($U$20=0,1,0)</f>
        <v>1</v>
      </c>
      <c r="BZ30" s="15" t="n">
        <f aca="false">IFERROR(LARGE($AH$6:$AK$25,29),0)</f>
        <v>0</v>
      </c>
      <c r="CA30" s="15" t="n">
        <f aca="false">CA29+BZ30</f>
        <v>0</v>
      </c>
      <c r="CB30" s="15" t="n">
        <f aca="false">IFERROR(LARGE($AM$6:$AP$25,29),0)</f>
        <v>0</v>
      </c>
      <c r="CC30" s="15" t="n">
        <f aca="false">CC29+CB30</f>
        <v>0</v>
      </c>
      <c r="CE30" s="15" t="n">
        <f aca="false">38</f>
        <v>38</v>
      </c>
      <c r="CF30" s="15" t="n">
        <f aca="false">CE30-$V$5-$V$6-0</f>
        <v>18</v>
      </c>
      <c r="CG30" s="15" t="n">
        <f aca="false">MAX(0,CF30)</f>
        <v>18</v>
      </c>
      <c r="CH30" s="15" t="n">
        <f aca="false">MIN(CG30,$V$7)</f>
        <v>0</v>
      </c>
      <c r="CI30" s="15" t="n">
        <f aca="false">0</f>
        <v>0</v>
      </c>
      <c r="CJ30" s="15" t="n">
        <f aca="false">CG30-CH30</f>
        <v>18</v>
      </c>
      <c r="CK30" s="15" t="n">
        <f aca="false">$V$5+CH30+CJ30</f>
        <v>38</v>
      </c>
      <c r="CL30" s="15" t="n">
        <f aca="false">1*BE6+1*BF6+1*BE7+1*BF7</f>
        <v>56</v>
      </c>
      <c r="CM30" s="15" t="n">
        <f aca="false">1*BG6+1*BH6+1*BG7+1*BH7+1*BG8+1*BH8+1*BG9+1*BH9+1*BG10+1*BH10+SUM($AE$12:$AE$25)</f>
        <v>20</v>
      </c>
      <c r="CN30" s="15" t="n">
        <f aca="false">IF(CH30=0,0,INDEX($CC$2:$CC$57,CH30))</f>
        <v>0</v>
      </c>
      <c r="CO30" s="15" t="n">
        <f aca="false">CL30+$V$11+CN30+CJ30*$U$2</f>
        <v>266</v>
      </c>
      <c r="CP30" s="15" t="n">
        <f aca="false">CM30+CH30+CJ30</f>
        <v>38</v>
      </c>
      <c r="CQ30" s="15" t="n">
        <f aca="false">IF(CP30&gt;0,MIN(600,INT((CO30/CP30*40)+0.5+0.000000001)),0)</f>
        <v>280</v>
      </c>
      <c r="CR30" s="15" t="n">
        <f aca="false">$V$9+CT30</f>
        <v>0</v>
      </c>
      <c r="CS30" s="15" t="n">
        <f aca="false">INT(CK30*0.2)</f>
        <v>7</v>
      </c>
      <c r="CT30" s="15" t="n">
        <f aca="false">$V$10+MAX(0,CH30-$V$8)+CJ30*IF($U$2&lt;5,1,0)</f>
        <v>0</v>
      </c>
      <c r="CU30" s="15" t="n">
        <f aca="false">$V$11+CN30+CJ30*$U$2</f>
        <v>210</v>
      </c>
      <c r="CV30" s="15" t="n">
        <f aca="false">IF(CQ30&gt;=200,1,0)</f>
        <v>1</v>
      </c>
      <c r="CW30" s="15" t="n">
        <f aca="false">IF(CR30&lt;=CS30,1,0)</f>
        <v>1</v>
      </c>
      <c r="CX30" s="15" t="n">
        <f aca="false">1</f>
        <v>1</v>
      </c>
      <c r="CY30" s="15" t="n">
        <f aca="false">1</f>
        <v>1</v>
      </c>
      <c r="CZ30" s="15" t="n">
        <f aca="false">1</f>
        <v>1</v>
      </c>
      <c r="DA30" s="15" t="n">
        <f aca="false">1</f>
        <v>1</v>
      </c>
      <c r="DB30" s="15" t="n">
        <f aca="false">IF($U$12=0,1,0)</f>
        <v>1</v>
      </c>
      <c r="DC30" s="15" t="n">
        <f aca="false">1</f>
        <v>1</v>
      </c>
      <c r="DD30" s="15" t="n">
        <f aca="false">1</f>
        <v>1</v>
      </c>
      <c r="DE30" s="15" t="n">
        <f aca="false">IF(CF30&lt;0,0,1)</f>
        <v>1</v>
      </c>
      <c r="DF30" s="15" t="n">
        <f aca="false">IF(CV30*CW30*CX30*CY30*CZ30*DA30*DB30*DC30*DD30*DE30=1,1,0)</f>
        <v>1</v>
      </c>
      <c r="DG30" s="15" t="n">
        <f aca="false">$V$6+CI30</f>
        <v>0</v>
      </c>
      <c r="DH30" s="15" t="n">
        <f aca="false">DF30*1000000+CQ30*100+(100-CK30)</f>
        <v>1028062</v>
      </c>
    </row>
    <row r="31" customFormat="false" ht="15" hidden="false" customHeight="false" outlineLevel="0" collapsed="false">
      <c r="B31" s="12" t="s">
        <v>475</v>
      </c>
      <c r="L31" s="46" t="s">
        <v>235</v>
      </c>
      <c r="T31" s="15" t="s">
        <v>233</v>
      </c>
      <c r="U31" s="15" t="n">
        <f aca="false">$U$28*$U$29*$U$30</f>
        <v>0</v>
      </c>
      <c r="BZ31" s="15" t="n">
        <f aca="false">IFERROR(LARGE($AH$6:$AK$25,30),0)</f>
        <v>0</v>
      </c>
      <c r="CA31" s="15" t="n">
        <f aca="false">CA30+BZ31</f>
        <v>0</v>
      </c>
      <c r="CB31" s="15" t="n">
        <f aca="false">IFERROR(LARGE($AM$6:$AP$25,30),0)</f>
        <v>0</v>
      </c>
      <c r="CC31" s="15" t="n">
        <f aca="false">CC30+CB31</f>
        <v>0</v>
      </c>
      <c r="CE31" s="15" t="n">
        <f aca="false">39</f>
        <v>39</v>
      </c>
      <c r="CF31" s="15" t="n">
        <f aca="false">CE31-$V$5-$V$6-0</f>
        <v>19</v>
      </c>
      <c r="CG31" s="15" t="n">
        <f aca="false">MAX(0,CF31)</f>
        <v>19</v>
      </c>
      <c r="CH31" s="15" t="n">
        <f aca="false">MIN(CG31,$V$7)</f>
        <v>0</v>
      </c>
      <c r="CI31" s="15" t="n">
        <f aca="false">0</f>
        <v>0</v>
      </c>
      <c r="CJ31" s="15" t="n">
        <f aca="false">CG31-CH31</f>
        <v>19</v>
      </c>
      <c r="CK31" s="15" t="n">
        <f aca="false">$V$5+CH31+CJ31</f>
        <v>39</v>
      </c>
      <c r="CL31" s="15" t="n">
        <f aca="false">1*BE6+1*BF6+1*BE7+1*BF7</f>
        <v>56</v>
      </c>
      <c r="CM31" s="15" t="n">
        <f aca="false">1*BG6+1*BH6+1*BG7+1*BH7+1*BG8+1*BH8+1*BG9+1*BH9+1*BG10+1*BH10+SUM($AE$12:$AE$25)</f>
        <v>20</v>
      </c>
      <c r="CN31" s="15" t="n">
        <f aca="false">IF(CH31=0,0,INDEX($CC$2:$CC$57,CH31))</f>
        <v>0</v>
      </c>
      <c r="CO31" s="15" t="n">
        <f aca="false">CL31+$V$11+CN31+CJ31*$U$2</f>
        <v>273</v>
      </c>
      <c r="CP31" s="15" t="n">
        <f aca="false">CM31+CH31+CJ31</f>
        <v>39</v>
      </c>
      <c r="CQ31" s="15" t="n">
        <f aca="false">IF(CP31&gt;0,MIN(600,INT((CO31/CP31*40)+0.5+0.000000001)),0)</f>
        <v>280</v>
      </c>
      <c r="CR31" s="15" t="n">
        <f aca="false">$V$9+CT31</f>
        <v>0</v>
      </c>
      <c r="CS31" s="15" t="n">
        <f aca="false">INT(CK31*0.2)</f>
        <v>7</v>
      </c>
      <c r="CT31" s="15" t="n">
        <f aca="false">$V$10+MAX(0,CH31-$V$8)+CJ31*IF($U$2&lt;5,1,0)</f>
        <v>0</v>
      </c>
      <c r="CU31" s="15" t="n">
        <f aca="false">$V$11+CN31+CJ31*$U$2</f>
        <v>217</v>
      </c>
      <c r="CV31" s="15" t="n">
        <f aca="false">IF(CQ31&gt;=200,1,0)</f>
        <v>1</v>
      </c>
      <c r="CW31" s="15" t="n">
        <f aca="false">IF(CR31&lt;=CS31,1,0)</f>
        <v>1</v>
      </c>
      <c r="CX31" s="15" t="n">
        <f aca="false">1</f>
        <v>1</v>
      </c>
      <c r="CY31" s="15" t="n">
        <f aca="false">1</f>
        <v>1</v>
      </c>
      <c r="CZ31" s="15" t="n">
        <f aca="false">1</f>
        <v>1</v>
      </c>
      <c r="DA31" s="15" t="n">
        <f aca="false">1</f>
        <v>1</v>
      </c>
      <c r="DB31" s="15" t="n">
        <f aca="false">IF($U$12=0,1,0)</f>
        <v>1</v>
      </c>
      <c r="DC31" s="15" t="n">
        <f aca="false">1</f>
        <v>1</v>
      </c>
      <c r="DD31" s="15" t="n">
        <f aca="false">1</f>
        <v>1</v>
      </c>
      <c r="DE31" s="15" t="n">
        <f aca="false">IF(CF31&lt;0,0,1)</f>
        <v>1</v>
      </c>
      <c r="DF31" s="15" t="n">
        <f aca="false">IF(CV31*CW31*CX31*CY31*CZ31*DA31*DB31*DC31*DD31*DE31=1,1,0)</f>
        <v>1</v>
      </c>
      <c r="DG31" s="15" t="n">
        <f aca="false">$V$6+CI31</f>
        <v>0</v>
      </c>
      <c r="DH31" s="15" t="n">
        <f aca="false">DF31*1000000+CQ31*100+(100-CK31)</f>
        <v>1028061</v>
      </c>
    </row>
    <row r="32" customFormat="false" ht="15" hidden="false" customHeight="false" outlineLevel="0" collapsed="false">
      <c r="B32" s="12" t="s">
        <v>476</v>
      </c>
      <c r="L32" s="47" t="s">
        <v>238</v>
      </c>
      <c r="T32" s="15" t="s">
        <v>236</v>
      </c>
      <c r="U32" s="15" t="n">
        <f aca="false">IF($U$21&gt;=100,1,0)</f>
        <v>1</v>
      </c>
      <c r="BZ32" s="15" t="n">
        <f aca="false">IFERROR(LARGE($AH$6:$AK$25,31),0)</f>
        <v>0</v>
      </c>
      <c r="CA32" s="15" t="n">
        <f aca="false">CA31+BZ32</f>
        <v>0</v>
      </c>
      <c r="CB32" s="15" t="n">
        <f aca="false">IFERROR(LARGE($AM$6:$AP$25,31),0)</f>
        <v>0</v>
      </c>
      <c r="CC32" s="15" t="n">
        <f aca="false">CC31+CB32</f>
        <v>0</v>
      </c>
      <c r="CE32" s="15" t="n">
        <f aca="false">40</f>
        <v>40</v>
      </c>
      <c r="CF32" s="15" t="n">
        <f aca="false">CE32-$V$5-$V$6-0</f>
        <v>20</v>
      </c>
      <c r="CG32" s="15" t="n">
        <f aca="false">MAX(0,CF32)</f>
        <v>20</v>
      </c>
      <c r="CH32" s="15" t="n">
        <f aca="false">MIN(CG32,$V$7)</f>
        <v>0</v>
      </c>
      <c r="CI32" s="15" t="n">
        <f aca="false">0</f>
        <v>0</v>
      </c>
      <c r="CJ32" s="15" t="n">
        <f aca="false">CG32-CH32</f>
        <v>20</v>
      </c>
      <c r="CK32" s="15" t="n">
        <f aca="false">$V$5+CH32+CJ32</f>
        <v>40</v>
      </c>
      <c r="CL32" s="15" t="n">
        <f aca="false">1*BE6+1*BF6+1*BE7+1*BF7</f>
        <v>56</v>
      </c>
      <c r="CM32" s="15" t="n">
        <f aca="false">1*BG6+1*BH6+1*BG7+1*BH7+1*BG8+1*BH8+1*BG9+1*BH9+1*BG10+1*BH10+SUM($AE$12:$AE$25)</f>
        <v>20</v>
      </c>
      <c r="CN32" s="15" t="n">
        <f aca="false">IF(CH32=0,0,INDEX($CC$2:$CC$57,CH32))</f>
        <v>0</v>
      </c>
      <c r="CO32" s="15" t="n">
        <f aca="false">CL32+$V$11+CN32+CJ32*$U$2</f>
        <v>280</v>
      </c>
      <c r="CP32" s="15" t="n">
        <f aca="false">CM32+CH32+CJ32</f>
        <v>40</v>
      </c>
      <c r="CQ32" s="15" t="n">
        <f aca="false">IF(CP32&gt;0,MIN(600,INT((CO32/CP32*40)+0.5+0.000000001)),0)</f>
        <v>280</v>
      </c>
      <c r="CR32" s="15" t="n">
        <f aca="false">$V$9+CT32</f>
        <v>0</v>
      </c>
      <c r="CS32" s="15" t="n">
        <f aca="false">INT(CK32*0.2)</f>
        <v>8</v>
      </c>
      <c r="CT32" s="15" t="n">
        <f aca="false">$V$10+MAX(0,CH32-$V$8)+CJ32*IF($U$2&lt;5,1,0)</f>
        <v>0</v>
      </c>
      <c r="CU32" s="15" t="n">
        <f aca="false">$V$11+CN32+CJ32*$U$2</f>
        <v>224</v>
      </c>
      <c r="CV32" s="15" t="n">
        <f aca="false">IF(CQ32&gt;=200,1,0)</f>
        <v>1</v>
      </c>
      <c r="CW32" s="15" t="n">
        <f aca="false">IF(CR32&lt;=CS32,1,0)</f>
        <v>1</v>
      </c>
      <c r="CX32" s="15" t="n">
        <f aca="false">1</f>
        <v>1</v>
      </c>
      <c r="CY32" s="15" t="n">
        <f aca="false">1</f>
        <v>1</v>
      </c>
      <c r="CZ32" s="15" t="n">
        <f aca="false">1</f>
        <v>1</v>
      </c>
      <c r="DA32" s="15" t="n">
        <f aca="false">1</f>
        <v>1</v>
      </c>
      <c r="DB32" s="15" t="n">
        <f aca="false">IF($U$12=0,1,0)</f>
        <v>1</v>
      </c>
      <c r="DC32" s="15" t="n">
        <f aca="false">1</f>
        <v>1</v>
      </c>
      <c r="DD32" s="15" t="n">
        <f aca="false">1</f>
        <v>1</v>
      </c>
      <c r="DE32" s="15" t="n">
        <f aca="false">IF(CF32&lt;0,0,1)</f>
        <v>1</v>
      </c>
      <c r="DF32" s="15" t="n">
        <f aca="false">IF(CV32*CW32*CX32*CY32*CZ32*DA32*DB32*DC32*DD32*DE32=1,1,0)</f>
        <v>1</v>
      </c>
      <c r="DG32" s="15" t="n">
        <f aca="false">$V$6+CI32</f>
        <v>0</v>
      </c>
      <c r="DH32" s="15" t="n">
        <f aca="false">DF32*1000000+CQ32*100+(100-CK32)</f>
        <v>1028060</v>
      </c>
    </row>
    <row r="33" customFormat="false" ht="15" hidden="false" customHeight="false" outlineLevel="0" collapsed="false">
      <c r="B33" s="12" t="s">
        <v>477</v>
      </c>
      <c r="T33" s="15" t="s">
        <v>239</v>
      </c>
      <c r="U33" s="15" t="n">
        <f aca="false">IF(AND($U$22&gt;=$U$26,$U$23&gt;=1),1,0)</f>
        <v>1</v>
      </c>
      <c r="BZ33" s="15" t="n">
        <f aca="false">IFERROR(LARGE($AH$6:$AK$25,32),0)</f>
        <v>0</v>
      </c>
      <c r="CA33" s="15" t="n">
        <f aca="false">CA32+BZ33</f>
        <v>0</v>
      </c>
      <c r="CB33" s="15" t="n">
        <f aca="false">IFERROR(LARGE($AM$6:$AP$25,32),0)</f>
        <v>0</v>
      </c>
      <c r="CC33" s="15" t="n">
        <f aca="false">CC32+CB33</f>
        <v>0</v>
      </c>
    </row>
    <row r="34" customFormat="false" ht="15" hidden="false" customHeight="false" outlineLevel="0" collapsed="false">
      <c r="L34" s="48" t="s">
        <v>242</v>
      </c>
      <c r="T34" s="15" t="s">
        <v>240</v>
      </c>
      <c r="U34" s="15" t="n">
        <f aca="false">IF($U$25=0,1,0)</f>
        <v>1</v>
      </c>
      <c r="BZ34" s="15" t="n">
        <f aca="false">IFERROR(LARGE($AH$6:$AK$25,33),0)</f>
        <v>0</v>
      </c>
      <c r="CA34" s="15" t="n">
        <f aca="false">CA33+BZ34</f>
        <v>0</v>
      </c>
      <c r="CB34" s="15" t="n">
        <f aca="false">IFERROR(LARGE($AM$6:$AP$25,33),0)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8" t="s">
        <v>478</v>
      </c>
      <c r="L35" s="48" t="s">
        <v>245</v>
      </c>
      <c r="T35" s="15" t="s">
        <v>243</v>
      </c>
      <c r="U35" s="15" t="n">
        <f aca="false">$U$32*$U$33*$U$34</f>
        <v>1</v>
      </c>
      <c r="BZ35" s="15" t="n">
        <f aca="false">IFERROR(LARGE($AH$6:$AK$25,34),0)</f>
        <v>0</v>
      </c>
      <c r="CA35" s="15" t="n">
        <f aca="false">CA34+BZ35</f>
        <v>0</v>
      </c>
      <c r="CB35" s="15" t="n">
        <f aca="false">IFERROR(LARGE($AM$6:$AP$25,34),0)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49" t="s">
        <v>479</v>
      </c>
      <c r="T36" s="15" t="s">
        <v>246</v>
      </c>
      <c r="U36" s="15" t="n">
        <f aca="false">INDEX($DG$3:$DG$12,$U$13)+$U$27</f>
        <v>41</v>
      </c>
      <c r="BZ36" s="15" t="n">
        <f aca="false">IFERROR(LARGE($AH$6:$AK$25,35),0)</f>
        <v>0</v>
      </c>
      <c r="CA36" s="15" t="n">
        <f aca="false">CA35+BZ36</f>
        <v>0</v>
      </c>
      <c r="CB36" s="15" t="n">
        <f aca="false">IFERROR(LARGE($AM$6:$AP$25,35),0)</f>
        <v>0</v>
      </c>
      <c r="CC36" s="15" t="n">
        <f aca="false">CC35+CB36</f>
        <v>0</v>
      </c>
    </row>
    <row r="37" customFormat="false" ht="15" hidden="false" customHeight="false" outlineLevel="0" collapsed="false">
      <c r="T37" s="15" t="s">
        <v>247</v>
      </c>
      <c r="U37" s="15" t="n">
        <f aca="false">IF($U$36=0,1,0)</f>
        <v>0</v>
      </c>
      <c r="BZ37" s="15" t="n">
        <f aca="false">IFERROR(LARGE($AH$6:$AK$25,36),0)</f>
        <v>0</v>
      </c>
      <c r="CA37" s="15" t="n">
        <f aca="false">CA36+BZ37</f>
        <v>0</v>
      </c>
      <c r="CB37" s="15" t="n">
        <f aca="false">IFERROR(LARGE($AM$6:$AP$25,36),0)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0" t="s">
        <v>480</v>
      </c>
      <c r="T38" s="15" t="s">
        <v>249</v>
      </c>
      <c r="U38" s="15" t="n">
        <f aca="false">IF($U$37=1,INDEX($CQ$3:$CQ$12,$U$13),INDEX($CQ$23:$CQ$32,$U$14))</f>
        <v>280</v>
      </c>
      <c r="BZ38" s="15" t="n">
        <f aca="false">IFERROR(LARGE($AH$6:$AK$25,37),0)</f>
        <v>0</v>
      </c>
      <c r="CA38" s="15" t="n">
        <f aca="false">CA37+BZ38</f>
        <v>0</v>
      </c>
      <c r="CB38" s="15" t="n">
        <f aca="false">IFERROR(LARGE($AM$6:$AP$25,37),0)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1" t="s">
        <v>250</v>
      </c>
      <c r="T39" s="15" t="s">
        <v>251</v>
      </c>
      <c r="U39" s="15" t="n">
        <f aca="false">IF($U$37=1,INDEX($CK$3:$CK$12,$U$13),INDEX($CK$23:$CK$32,$U$14))</f>
        <v>36</v>
      </c>
      <c r="BZ39" s="15" t="n">
        <f aca="false">IFERROR(LARGE($AH$6:$AK$25,38),0)</f>
        <v>0</v>
      </c>
      <c r="CA39" s="15" t="n">
        <f aca="false">CA38+BZ39</f>
        <v>0</v>
      </c>
      <c r="CB39" s="15" t="n">
        <f aca="false">IFERROR(LARGE($AM$6:$AP$25,38),0)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252</v>
      </c>
      <c r="U40" s="15" t="n">
        <f aca="false">IF($U$37=1,INDEX($CR$3:$CR$12,$U$13),INDEX($CR$23:$CR$32,$U$14))</f>
        <v>0</v>
      </c>
      <c r="BZ40" s="15" t="n">
        <f aca="false">IFERROR(LARGE($AH$6:$AK$25,39),0)</f>
        <v>0</v>
      </c>
      <c r="CA40" s="15" t="n">
        <f aca="false">CA39+BZ40</f>
        <v>0</v>
      </c>
      <c r="CB40" s="15" t="n">
        <f aca="false">IFERROR(LARGE($AM$6:$AP$25,39),0)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253</v>
      </c>
      <c r="U41" s="15" t="n">
        <f aca="false">IF($U$37=1,INDEX($CS$3:$CS$12,$U$13),INDEX($CS$23:$CS$32,$U$14))</f>
        <v>7</v>
      </c>
      <c r="BZ41" s="15" t="n">
        <f aca="false">IFERROR(LARGE($AH$6:$AK$25,40),0)</f>
        <v>0</v>
      </c>
      <c r="CA41" s="15" t="n">
        <f aca="false">CA40+BZ41</f>
        <v>0</v>
      </c>
      <c r="CB41" s="15" t="n">
        <f aca="false">IFERROR(LARGE($AM$6:$AP$25,40),0)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254</v>
      </c>
      <c r="U42" s="15" t="n">
        <f aca="false">IF($U$37=1,INDEX($CT$3:$CT$12,$U$13),INDEX($CT$23:$CT$32,$U$14))</f>
        <v>0</v>
      </c>
      <c r="BZ42" s="15" t="n">
        <f aca="false">IFERROR(LARGE($AH$6:$AK$25,41),0)</f>
        <v>0</v>
      </c>
      <c r="CA42" s="15" t="n">
        <f aca="false">CA41+BZ42</f>
        <v>0</v>
      </c>
      <c r="CB42" s="15" t="n">
        <f aca="false">IFERROR(LARGE($AM$6:$AP$25,41),0)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255</v>
      </c>
      <c r="U43" s="15" t="n">
        <f aca="false">IF($U$37=1,INDEX($CL$3:$CL$12,$U$13),INDEX($CL$23:$CL$32,$U$14))</f>
        <v>112</v>
      </c>
      <c r="BZ43" s="15" t="n">
        <f aca="false">IFERROR(LARGE($AH$6:$AK$25,42),0)</f>
        <v>0</v>
      </c>
      <c r="CA43" s="15" t="n">
        <f aca="false">CA42+BZ43</f>
        <v>0</v>
      </c>
      <c r="CB43" s="15" t="n">
        <f aca="false">IFERROR(LARGE($AM$6:$AP$25,42),0)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256</v>
      </c>
      <c r="U44" s="15" t="n">
        <f aca="false">IF($U$37=1,INDEX($CU$3:$CU$12,$U$13),INDEX($CU$23:$CU$32,$U$14))</f>
        <v>196</v>
      </c>
      <c r="BZ44" s="15" t="n">
        <f aca="false">IFERROR(LARGE($AH$6:$AK$25,43),0)</f>
        <v>0</v>
      </c>
      <c r="CA44" s="15" t="n">
        <f aca="false">CA43+BZ44</f>
        <v>0</v>
      </c>
      <c r="CB44" s="15" t="n">
        <f aca="false">IFERROR(LARGE($AM$6:$AP$25,43),0)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257</v>
      </c>
      <c r="U45" s="15" t="n">
        <f aca="false">IF($U$37=1,INDEX($CP$3:$CP$12,$U$13),INDEX($CP$23:$CP$32,$U$14))</f>
        <v>44</v>
      </c>
      <c r="BZ45" s="15" t="n">
        <f aca="false">IFERROR(LARGE($AH$6:$AK$25,44),0)</f>
        <v>0</v>
      </c>
      <c r="CA45" s="15" t="n">
        <f aca="false">CA44+BZ45</f>
        <v>0</v>
      </c>
      <c r="CB45" s="15" t="n">
        <f aca="false">IFERROR(LARGE($AM$6:$AP$25,44),0)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258</v>
      </c>
      <c r="U46" s="15" t="n">
        <f aca="false">IF($U$37=1,INDEX($CO$3:$CO$12,$U$13),INDEX($CO$23:$CO$32,$U$14))</f>
        <v>308</v>
      </c>
      <c r="BZ46" s="15" t="n">
        <f aca="false">IFERROR(LARGE($AH$6:$AK$25,45),0)</f>
        <v>0</v>
      </c>
      <c r="CA46" s="15" t="n">
        <f aca="false">CA45+BZ46</f>
        <v>0</v>
      </c>
      <c r="CB46" s="15" t="n">
        <f aca="false">IFERROR(LARGE($AM$6:$AP$25,45),0)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259</v>
      </c>
      <c r="U47" s="15" t="n">
        <f aca="false">IF($U$37=1,INDEX($CH$3:$CH$12,$U$13),INDEX($CH$23:$CH$32,$U$14))</f>
        <v>0</v>
      </c>
      <c r="BZ47" s="15" t="n">
        <f aca="false">IFERROR(LARGE($AH$6:$AK$25,46),0)</f>
        <v>0</v>
      </c>
      <c r="CA47" s="15" t="n">
        <f aca="false">CA46+BZ47</f>
        <v>0</v>
      </c>
      <c r="CB47" s="15" t="n">
        <f aca="false">IFERROR(LARGE($AM$6:$AP$25,46),0)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260</v>
      </c>
      <c r="U48" s="15" t="n">
        <f aca="false">IF($U$37=1,INDEX($DF$3:$DF$12,$U$13),INDEX($DF$23:$DF$32,$U$14))</f>
        <v>1</v>
      </c>
      <c r="BZ48" s="15" t="n">
        <f aca="false">IFERROR(LARGE($AH$6:$AK$25,47),0)</f>
        <v>0</v>
      </c>
      <c r="CA48" s="15" t="n">
        <f aca="false">CA47+BZ48</f>
        <v>0</v>
      </c>
      <c r="CB48" s="15" t="n">
        <f aca="false">IFERROR(LARGE($AM$6:$AP$25,47),0)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261</v>
      </c>
      <c r="U49" s="15" t="n">
        <f aca="false">IF($U$37=1,INDEX($CV$3:$CV$12,$U$13),INDEX($CV$23:$CV$32,$U$14))</f>
        <v>1</v>
      </c>
      <c r="BZ49" s="15" t="n">
        <f aca="false">IFERROR(LARGE($AH$6:$AK$25,48),0)</f>
        <v>0</v>
      </c>
      <c r="CA49" s="15" t="n">
        <f aca="false">CA48+BZ49</f>
        <v>0</v>
      </c>
      <c r="CB49" s="15" t="n">
        <f aca="false">IFERROR(LARGE($AM$6:$AP$25,48),0)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262</v>
      </c>
      <c r="U50" s="15" t="n">
        <f aca="false">IF($U$37=1,INDEX($CW$3:$CW$12,$U$13),INDEX($CW$23:$CW$32,$U$14))</f>
        <v>1</v>
      </c>
      <c r="BZ50" s="15" t="n">
        <f aca="false">IFERROR(LARGE($AH$6:$AK$25,49),0)</f>
        <v>0</v>
      </c>
      <c r="CA50" s="15" t="n">
        <f aca="false">CA49+BZ50</f>
        <v>0</v>
      </c>
      <c r="CB50" s="15" t="n">
        <f aca="false">IFERROR(LARGE($AM$6:$AP$25,49),0)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263</v>
      </c>
      <c r="U51" s="15" t="n">
        <f aca="false">IF($U$37=1,INDEX($CX$3:$CX$12,$U$13),INDEX($CX$23:$CX$32,$U$14))</f>
        <v>1</v>
      </c>
      <c r="BZ51" s="15" t="n">
        <f aca="false">IFERROR(LARGE($AH$6:$AK$25,50),0)</f>
        <v>0</v>
      </c>
      <c r="CA51" s="15" t="n">
        <f aca="false">CA50+BZ51</f>
        <v>0</v>
      </c>
      <c r="CB51" s="15" t="n">
        <f aca="false">IFERROR(LARGE($AM$6:$AP$25,50),0)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264</v>
      </c>
      <c r="U52" s="15" t="n">
        <f aca="false">IF($U$37=1,INDEX($CY$3:$CY$12,$U$13),INDEX($CY$23:$CY$32,$U$14))</f>
        <v>1</v>
      </c>
      <c r="BZ52" s="15" t="n">
        <f aca="false">IFERROR(LARGE($AH$6:$AK$25,51),0)</f>
        <v>0</v>
      </c>
      <c r="CA52" s="15" t="n">
        <f aca="false">CA51+BZ52</f>
        <v>0</v>
      </c>
      <c r="CB52" s="15" t="n">
        <f aca="false">IFERROR(LARGE($AM$6:$AP$25,51),0)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265</v>
      </c>
      <c r="U53" s="15" t="n">
        <f aca="false">IF($U$37=1,INDEX($CZ$3:$CZ$12,$U$13),INDEX($CZ$23:$CZ$32,$U$14))</f>
        <v>1</v>
      </c>
      <c r="BZ53" s="15" t="n">
        <f aca="false">IFERROR(LARGE($AH$6:$AK$25,52),0)</f>
        <v>0</v>
      </c>
      <c r="CA53" s="15" t="n">
        <f aca="false">CA52+BZ53</f>
        <v>0</v>
      </c>
      <c r="CB53" s="15" t="n">
        <f aca="false">IFERROR(LARGE($AM$6:$AP$25,52),0)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266</v>
      </c>
      <c r="U54" s="15" t="n">
        <f aca="false">IF($U$37=1,INDEX($DA$3:$DA$12,$U$13),INDEX($DA$23:$DA$32,$U$14))</f>
        <v>1</v>
      </c>
      <c r="BZ54" s="15" t="n">
        <f aca="false">IFERROR(LARGE($AH$6:$AK$25,53),0)</f>
        <v>0</v>
      </c>
      <c r="CA54" s="15" t="n">
        <f aca="false">CA53+BZ54</f>
        <v>0</v>
      </c>
      <c r="CB54" s="15" t="n">
        <f aca="false">IFERROR(LARGE($AM$6:$AP$25,53),0)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267</v>
      </c>
      <c r="U55" s="15" t="n">
        <f aca="false">IF($U$37=1,INDEX($DB$3:$DB$12,$U$13),INDEX($DB$23:$DB$32,$U$14))</f>
        <v>1</v>
      </c>
      <c r="BZ55" s="15" t="n">
        <f aca="false">IFERROR(LARGE($AH$6:$AK$25,54),0)</f>
        <v>0</v>
      </c>
      <c r="CA55" s="15" t="n">
        <f aca="false">CA54+BZ55</f>
        <v>0</v>
      </c>
      <c r="CB55" s="15" t="n">
        <f aca="false">IFERROR(LARGE($AM$6:$AP$25,54),0)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268</v>
      </c>
      <c r="U56" s="15" t="n">
        <f aca="false">IF($U$37=1,INDEX($DC$3:$DC$12,$U$13),INDEX($DC$23:$DC$32,$U$14))</f>
        <v>1</v>
      </c>
      <c r="BZ56" s="15" t="n">
        <f aca="false">IFERROR(LARGE($AH$6:$AK$25,55),0)</f>
        <v>0</v>
      </c>
      <c r="CA56" s="15" t="n">
        <f aca="false">CA55+BZ56</f>
        <v>0</v>
      </c>
      <c r="CB56" s="15" t="n">
        <f aca="false">IFERROR(LARGE($AM$6:$AP$25,55),0)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269</v>
      </c>
      <c r="U57" s="15" t="n">
        <f aca="false">IF($U$37=1,INDEX($DD$3:$DD$12,$U$13),INDEX($DD$23:$DD$32,$U$14))</f>
        <v>1</v>
      </c>
      <c r="BZ57" s="15" t="n">
        <f aca="false">IFERROR(LARGE($AH$6:$AK$25,56),0)</f>
        <v>0</v>
      </c>
      <c r="CA57" s="15" t="n">
        <f aca="false">CA56+BZ57</f>
        <v>0</v>
      </c>
      <c r="CB57" s="15" t="n">
        <f aca="false">IFERROR(LARGE($AM$6:$AP$25,56),0)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270</v>
      </c>
      <c r="U58" s="15" t="n">
        <f aca="false">IF($U$37=1,INDEX($DE$3:$DE$12,$U$13),INDEX($DE$23:$DE$32,$U$14))</f>
        <v>1</v>
      </c>
    </row>
    <row r="59" customFormat="false" ht="15" hidden="false" customHeight="false" outlineLevel="0" collapsed="false">
      <c r="T59" s="15" t="s">
        <v>271</v>
      </c>
      <c r="U59" s="15" t="n">
        <f aca="false">IF($U$37=1,$U$13,$U$14)</f>
        <v>1</v>
      </c>
    </row>
    <row r="60" customFormat="false" ht="15" hidden="false" customHeight="false" outlineLevel="0" collapsed="false">
      <c r="T60" s="15" t="s">
        <v>272</v>
      </c>
      <c r="U60" s="15" t="n">
        <f aca="false">IF($U$37=1,$U$9,$V$9)</f>
        <v>0</v>
      </c>
    </row>
    <row r="61" customFormat="false" ht="15" hidden="false" customHeight="false" outlineLevel="0" collapsed="false">
      <c r="T61" s="15" t="s">
        <v>273</v>
      </c>
      <c r="U61" s="15" t="n">
        <f aca="false">IF($U$37=1,$U$16,$U$21)</f>
        <v>140</v>
      </c>
    </row>
    <row r="62" customFormat="false" ht="15" hidden="false" customHeight="false" outlineLevel="0" collapsed="false">
      <c r="T62" s="15" t="s">
        <v>274</v>
      </c>
      <c r="U62" s="15" t="n">
        <f aca="false">IF($U$37=1,$U$17,$U$22)</f>
        <v>5</v>
      </c>
    </row>
    <row r="63" customFormat="false" ht="15" hidden="false" customHeight="false" outlineLevel="0" collapsed="false">
      <c r="T63" s="15" t="s">
        <v>275</v>
      </c>
      <c r="U63" s="15" t="n">
        <f aca="false">IF($U$37=1,$U$28,$U$32)</f>
        <v>1</v>
      </c>
    </row>
    <row r="64" customFormat="false" ht="15" hidden="false" customHeight="false" outlineLevel="0" collapsed="false">
      <c r="T64" s="15" t="s">
        <v>276</v>
      </c>
      <c r="U64" s="15" t="n">
        <f aca="false">IF($U$37=1,$U$29,$U$33)</f>
        <v>1</v>
      </c>
    </row>
    <row r="65" customFormat="false" ht="15" hidden="false" customHeight="false" outlineLevel="0" collapsed="false">
      <c r="T65" s="15" t="s">
        <v>277</v>
      </c>
      <c r="U65" s="15" t="n">
        <f aca="false">IF($U$37=1,$U$30,$U$34)</f>
        <v>1</v>
      </c>
    </row>
    <row r="66" customFormat="false" ht="15" hidden="false" customHeight="false" outlineLevel="0" collapsed="false">
      <c r="T66" s="15" t="s">
        <v>278</v>
      </c>
      <c r="U66" s="15" t="n">
        <f aca="false">IF($U$37=1,$U$31,$U$35)</f>
        <v>1</v>
      </c>
    </row>
    <row r="67" customFormat="false" ht="15" hidden="false" customHeight="false" outlineLevel="0" collapsed="false">
      <c r="T67" s="15" t="s">
        <v>188</v>
      </c>
      <c r="U67" s="15" t="n">
        <f aca="false">$U$38+$U$61</f>
        <v>420</v>
      </c>
    </row>
    <row r="68" customFormat="false" ht="15" hidden="false" customHeight="false" outlineLevel="0" collapsed="false">
      <c r="T68" s="15" t="s">
        <v>279</v>
      </c>
      <c r="U68" s="15" t="n">
        <f aca="false">IF($U$67&gt;=300,1,0)</f>
        <v>1</v>
      </c>
    </row>
    <row r="69" customFormat="false" ht="15" hidden="false" customHeight="false" outlineLevel="0" collapsed="false">
      <c r="T69" s="15" t="s">
        <v>280</v>
      </c>
      <c r="U69" s="15" t="n">
        <f aca="false">IF($U$48*$U$66*$U$68=1,1,0)</f>
        <v>1</v>
      </c>
    </row>
    <row r="70" customFormat="false" ht="15" hidden="false" customHeight="false" outlineLevel="0" collapsed="false">
      <c r="T70" s="0" t="s">
        <v>281</v>
      </c>
      <c r="U70" s="0" t="n">
        <f aca="false">IF($U$67&lt;300,"",MAX(10,MIN(40,INT((1020-$U$67)/18))))</f>
        <v>33</v>
      </c>
    </row>
    <row r="71" customFormat="false" ht="15" hidden="false" customHeight="false" outlineLevel="0" collapsed="false">
      <c r="T71" s="0" t="s">
        <v>282</v>
      </c>
      <c r="U71" s="0" t="n">
        <f aca="false">IF($U$70="",MAX(0,300-$U$67),IF($U$70&gt;10,1021-18*$U$70-$U$67,""))</f>
        <v>7</v>
      </c>
    </row>
    <row r="72" customFormat="false" ht="15" hidden="false" customHeight="false" outlineLevel="0" collapsed="false">
      <c r="T72" s="0" t="s">
        <v>283</v>
      </c>
      <c r="U72" s="0" t="n">
        <f aca="false">IF($U$70="","",$U$67-IF($U$70&gt;=40,300,1020-18*($U$70+1)+1))</f>
        <v>11</v>
      </c>
    </row>
  </sheetData>
  <sheetProtection sheet="true" formatCells="false" formatColumns="false" formatRows="false"/>
  <mergeCells count="1">
    <mergeCell ref="M6:N6"/>
  </mergeCells>
  <conditionalFormatting sqref="E6:H25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10">
    <cfRule type="expression" priority="5" aboveAverage="0" equalAverage="0" bottom="0" percent="0" rank="0" text="" dxfId="3">
      <formula>AND(ISNUMBER(I6),I6&lt;5)</formula>
    </cfRule>
  </conditionalFormatting>
  <conditionalFormatting sqref="M19:M26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2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9 E10:I10 E12:H25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2:D25" type="list">
      <formula1>"x"</formula1>
      <formula2>0</formula2>
    </dataValidation>
  </dataValidations>
  <hyperlinks>
    <hyperlink ref="B36" r:id="rId2" display="https://www.landesrecht.sachsen-anhalt.de/perma?d=jlr-NNLST000042BE"/>
    <hyperlink ref="B38" r:id="rId3" display="Online-Rechner Sachsen-Anhalt mit Statistik und PDF-Download: https://www.abi-rechner.com/bundeslander/sachsen-anhalt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Sachsen-Anhalt · abi-rechner.com · Stand September 2026</oddFooter>
  </headerFooter>
  <legacyDrawing r:id="rId4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481</v>
      </c>
      <c r="T1" s="15" t="s">
        <v>72</v>
      </c>
      <c r="BZ1" s="15" t="s">
        <v>73</v>
      </c>
      <c r="CA1" s="15" t="s">
        <v>74</v>
      </c>
      <c r="CB1" s="15" t="s">
        <v>75</v>
      </c>
      <c r="CC1" s="15" t="s">
        <v>76</v>
      </c>
    </row>
    <row r="2" customFormat="false" ht="15" hidden="false" customHeight="false" outlineLevel="0" collapsed="false">
      <c r="B2" s="2" t="s">
        <v>482</v>
      </c>
      <c r="T2" s="15" t="s">
        <v>78</v>
      </c>
      <c r="U2" s="15" t="n">
        <f aca="false">IFERROR(AVERAGE($E$6:$H$24),7)</f>
        <v>7</v>
      </c>
      <c r="BZ2" s="15" t="n">
        <f aca="false">IFERROR(LARGE($AH$6:$AK$24,1),0)</f>
        <v>0</v>
      </c>
      <c r="CA2" s="15" t="n">
        <f aca="false">BZ2</f>
        <v>0</v>
      </c>
      <c r="CB2" s="15" t="n">
        <f aca="false">IFERROR(LARGE($AM$6:$AP$24,1),0)</f>
        <v>0</v>
      </c>
      <c r="CC2" s="15" t="n">
        <f aca="false">CB2</f>
        <v>0</v>
      </c>
      <c r="CE2" s="15" t="s">
        <v>79</v>
      </c>
      <c r="CF2" s="15" t="s">
        <v>80</v>
      </c>
      <c r="CG2" s="15" t="s">
        <v>81</v>
      </c>
      <c r="CH2" s="15" t="s">
        <v>82</v>
      </c>
      <c r="CI2" s="15" t="s">
        <v>83</v>
      </c>
      <c r="CJ2" s="15" t="s">
        <v>84</v>
      </c>
      <c r="CK2" s="15" t="s">
        <v>85</v>
      </c>
      <c r="CL2" s="15" t="s">
        <v>86</v>
      </c>
      <c r="CM2" s="15" t="s">
        <v>87</v>
      </c>
      <c r="CN2" s="15" t="s">
        <v>88</v>
      </c>
      <c r="CO2" s="15" t="s">
        <v>89</v>
      </c>
      <c r="CP2" s="15" t="s">
        <v>90</v>
      </c>
      <c r="CQ2" s="15" t="s">
        <v>91</v>
      </c>
      <c r="CR2" s="15" t="s">
        <v>92</v>
      </c>
      <c r="CS2" s="15" t="s">
        <v>93</v>
      </c>
      <c r="CT2" s="15" t="s">
        <v>94</v>
      </c>
      <c r="CU2" s="15" t="s">
        <v>95</v>
      </c>
      <c r="CV2" s="15" t="s">
        <v>96</v>
      </c>
      <c r="CW2" s="15" t="s">
        <v>97</v>
      </c>
      <c r="CX2" s="15" t="s">
        <v>98</v>
      </c>
      <c r="CY2" s="15" t="s">
        <v>99</v>
      </c>
      <c r="CZ2" s="15" t="s">
        <v>100</v>
      </c>
      <c r="DA2" s="15" t="s">
        <v>101</v>
      </c>
      <c r="DB2" s="15" t="s">
        <v>102</v>
      </c>
      <c r="DC2" s="15" t="s">
        <v>103</v>
      </c>
      <c r="DD2" s="15" t="s">
        <v>104</v>
      </c>
      <c r="DE2" s="15" t="s">
        <v>105</v>
      </c>
      <c r="DF2" s="15" t="s">
        <v>106</v>
      </c>
      <c r="DG2" s="15" t="s">
        <v>107</v>
      </c>
      <c r="DH2" s="15" t="s">
        <v>108</v>
      </c>
    </row>
    <row r="3" customFormat="false" ht="15" hidden="false" customHeight="false" outlineLevel="0" collapsed="false">
      <c r="B3" s="16" t="s">
        <v>109</v>
      </c>
      <c r="T3" s="15" t="s">
        <v>110</v>
      </c>
      <c r="U3" s="15" t="n">
        <f aca="false">IFERROR(AVERAGE($I$6:$I$9),$U$2)</f>
        <v>7</v>
      </c>
      <c r="BZ3" s="15" t="n">
        <f aca="false">IFERROR(LARGE($AH$6:$AK$24,2),0)</f>
        <v>0</v>
      </c>
      <c r="CA3" s="15" t="n">
        <f aca="false">CA2+BZ3</f>
        <v>0</v>
      </c>
      <c r="CB3" s="15" t="n">
        <f aca="false">IFERROR(LARGE($AM$6:$AP$24,2),0)</f>
        <v>0</v>
      </c>
      <c r="CC3" s="15" t="n">
        <f aca="false">CC2+CB3</f>
        <v>0</v>
      </c>
      <c r="CE3" s="15" t="n">
        <f aca="false">36</f>
        <v>36</v>
      </c>
      <c r="CF3" s="15" t="n">
        <f aca="false">CE3-$U$5-$U$6-0</f>
        <v>20</v>
      </c>
      <c r="CG3" s="15" t="n">
        <f aca="false">MAX(0,CF3)</f>
        <v>20</v>
      </c>
      <c r="CH3" s="15" t="n">
        <f aca="false">MIN(CG3,$U$7)</f>
        <v>0</v>
      </c>
      <c r="CI3" s="15" t="n">
        <f aca="false">CG3-CH3</f>
        <v>20</v>
      </c>
      <c r="CJ3" s="15" t="n">
        <f aca="false">0</f>
        <v>0</v>
      </c>
      <c r="CK3" s="15" t="n">
        <f aca="false">$U$5+CH3+CJ3</f>
        <v>0</v>
      </c>
      <c r="CL3" s="15" t="n">
        <f aca="false">2*AW6+2*AX6+2*AW7+2*AX7</f>
        <v>0</v>
      </c>
      <c r="CM3" s="15" t="n">
        <f aca="false">2*AY6+2*AZ6+2*AY7+2*AZ7+1*AY8+1*AZ8+1*AY9+1*AZ9+SUM($AA$11:$AA$24)</f>
        <v>0</v>
      </c>
      <c r="CN3" s="15" t="n">
        <f aca="false">IF(CH3=0,0,INDEX($CA$2:$CA$57,CH3))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IF(CP3&gt;0,MIN(600,INT((CO3/CP3*40)+0.5+0.000000001)),0)</f>
        <v>0</v>
      </c>
      <c r="CR3" s="15" t="n">
        <f aca="false">$U$9+CT3</f>
        <v>0</v>
      </c>
      <c r="CS3" s="15" t="n">
        <f aca="false">7</f>
        <v>7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1</f>
        <v>1</v>
      </c>
      <c r="CY3" s="15" t="n">
        <f aca="false">1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36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111</v>
      </c>
      <c r="U4" s="15" t="n">
        <f aca="false">IF(COUNT($E$6:$H$24,$I$6:$I$9)&gt;0,1,0)</f>
        <v>0</v>
      </c>
      <c r="BZ4" s="15" t="n">
        <f aca="false">IFERROR(LARGE($AH$6:$AK$24,3),0)</f>
        <v>0</v>
      </c>
      <c r="CA4" s="15" t="n">
        <f aca="false">CA3+BZ4</f>
        <v>0</v>
      </c>
      <c r="CB4" s="15" t="n">
        <f aca="false">IFERROR(LARGE($AM$6:$AP$24,3),0)</f>
        <v>0</v>
      </c>
      <c r="CC4" s="15" t="n">
        <f aca="false">CC3+CB4</f>
        <v>0</v>
      </c>
    </row>
    <row r="5" customFormat="false" ht="30" hidden="false" customHeight="true" outlineLevel="0" collapsed="false">
      <c r="B5" s="17" t="s">
        <v>9</v>
      </c>
      <c r="C5" s="17" t="s">
        <v>112</v>
      </c>
      <c r="D5" s="18"/>
      <c r="E5" s="18" t="s">
        <v>113</v>
      </c>
      <c r="F5" s="18" t="s">
        <v>114</v>
      </c>
      <c r="G5" s="18" t="s">
        <v>115</v>
      </c>
      <c r="H5" s="18" t="s">
        <v>116</v>
      </c>
      <c r="I5" s="18" t="s">
        <v>11</v>
      </c>
      <c r="J5" s="18" t="s">
        <v>117</v>
      </c>
      <c r="L5" s="19" t="s">
        <v>118</v>
      </c>
      <c r="M5" s="20"/>
      <c r="N5" s="20"/>
      <c r="T5" s="15" t="s">
        <v>119</v>
      </c>
      <c r="U5" s="15" t="n">
        <f aca="false">AY6+AY7+AY8+AY9+AZ6+AZ7+AZ8+AZ9+SUM($AA$11:$AA$24)</f>
        <v>0</v>
      </c>
      <c r="V5" s="15" t="n">
        <f aca="false">BG6+BG7+BG8+BG9+BH6+BH7+BH8+BH9+SUM($AE$11:$AE$24)</f>
        <v>16</v>
      </c>
      <c r="AH5" s="15" t="s">
        <v>120</v>
      </c>
      <c r="AM5" s="15" t="s">
        <v>121</v>
      </c>
      <c r="AR5" s="15" t="s">
        <v>122</v>
      </c>
      <c r="AW5" s="15" t="s">
        <v>123</v>
      </c>
      <c r="AX5" s="15" t="s">
        <v>124</v>
      </c>
      <c r="AY5" s="15" t="s">
        <v>125</v>
      </c>
      <c r="AZ5" s="15" t="s">
        <v>126</v>
      </c>
      <c r="BA5" s="15" t="s">
        <v>127</v>
      </c>
      <c r="BB5" s="15" t="s">
        <v>128</v>
      </c>
      <c r="BC5" s="15" t="s">
        <v>129</v>
      </c>
      <c r="BD5" s="15" t="s">
        <v>130</v>
      </c>
      <c r="BE5" s="15" t="s">
        <v>131</v>
      </c>
      <c r="BF5" s="15" t="s">
        <v>132</v>
      </c>
      <c r="BG5" s="15" t="s">
        <v>133</v>
      </c>
      <c r="BH5" s="15" t="s">
        <v>134</v>
      </c>
      <c r="BI5" s="15" t="s">
        <v>135</v>
      </c>
      <c r="BJ5" s="15" t="s">
        <v>136</v>
      </c>
      <c r="BK5" s="15" t="s">
        <v>137</v>
      </c>
      <c r="BL5" s="15" t="s">
        <v>138</v>
      </c>
      <c r="BN5" s="15" t="s">
        <v>139</v>
      </c>
      <c r="BO5" s="15" t="s">
        <v>140</v>
      </c>
      <c r="BP5" s="15" t="s">
        <v>141</v>
      </c>
      <c r="BQ5" s="15" t="s">
        <v>128</v>
      </c>
      <c r="BR5" s="15" t="s">
        <v>142</v>
      </c>
      <c r="BT5" s="15" t="s">
        <v>143</v>
      </c>
      <c r="BU5" s="15" t="s">
        <v>144</v>
      </c>
      <c r="BV5" s="15" t="s">
        <v>145</v>
      </c>
      <c r="BW5" s="15" t="s">
        <v>136</v>
      </c>
      <c r="BX5" s="15" t="s">
        <v>146</v>
      </c>
      <c r="BZ5" s="15" t="n">
        <f aca="false">IFERROR(LARGE($AH$6:$AK$24,4),0)</f>
        <v>0</v>
      </c>
      <c r="CA5" s="15" t="n">
        <f aca="false">CA4+BZ5</f>
        <v>0</v>
      </c>
      <c r="CB5" s="15" t="n">
        <f aca="false">IFERROR(LARGE($AM$6:$AP$24,4),0)</f>
        <v>0</v>
      </c>
      <c r="CC5" s="15" t="n">
        <f aca="false">CC4+CB5</f>
        <v>0</v>
      </c>
    </row>
    <row r="6" customFormat="false" ht="39.75" hidden="false" customHeight="true" outlineLevel="0" collapsed="false">
      <c r="B6" s="21" t="s">
        <v>483</v>
      </c>
      <c r="C6" s="22"/>
      <c r="D6" s="23" t="s">
        <v>148</v>
      </c>
      <c r="E6" s="24"/>
      <c r="F6" s="24"/>
      <c r="G6" s="24"/>
      <c r="H6" s="24"/>
      <c r="I6" s="25"/>
      <c r="J6" s="24"/>
      <c r="L6" s="26" t="s">
        <v>149</v>
      </c>
      <c r="M6" s="27" t="str">
        <f aca="false">IF($U$4=0,"Noch keine Eingaben – trag deine Punkte in die gelben Felder ein.",IF($U$36=1,"Endergebnis (alle Felder ausgefüllt)","Prognose: "&amp;$U$35&amp;" Felder offen, gefüllt mit deinem Schnitt von "&amp;FIXED($U$2,1)&amp;" Punkten"))</f>
        <v>Noch keine Eingaben – trag deine Punkte in die gelben Felder ein.</v>
      </c>
      <c r="N6" s="27"/>
      <c r="T6" s="15" t="s">
        <v>150</v>
      </c>
      <c r="U6" s="15" t="n">
        <f aca="false">BC6+BC7+BC8+BC9</f>
        <v>16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IF(BN6="","",IF(ISNUMBER($J$6),INT(((2*BN6+$J$6)/3*$U$16)+0.5+0.000000001),BN6*$U$16))</f>
        <v/>
      </c>
      <c r="BP6" s="15" t="n">
        <f aca="false">IF(BO6="",0,IF(BO6&gt;=5*$U$16-0.000000001,1,0))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IF(BT6="","",IF(ISNUMBER($J$6),INT(((2*BT6+$J$6)/3*$U$16)+0.5+0.000000001),BT6*$U$16))</f>
        <v>35</v>
      </c>
      <c r="BV6" s="15" t="n">
        <f aca="false">IF(BU6="",0,IF(BU6&gt;=5*$U$16-0.000000001,1,0))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IFERROR(LARGE($AH$6:$AK$24,5),0)</f>
        <v>0</v>
      </c>
      <c r="CA6" s="15" t="n">
        <f aca="false">CA5+BZ6</f>
        <v>0</v>
      </c>
      <c r="CB6" s="15" t="n">
        <f aca="false">IFERROR(LARGE($AM$6:$AP$24,5),0)</f>
        <v>0</v>
      </c>
      <c r="CC6" s="15" t="n">
        <f aca="false">CC5+CB6</f>
        <v>0</v>
      </c>
    </row>
    <row r="7" customFormat="false" ht="37.5" hidden="false" customHeight="true" outlineLevel="0" collapsed="false">
      <c r="B7" s="21" t="s">
        <v>484</v>
      </c>
      <c r="C7" s="22"/>
      <c r="D7" s="23" t="s">
        <v>148</v>
      </c>
      <c r="E7" s="24"/>
      <c r="F7" s="24"/>
      <c r="G7" s="24"/>
      <c r="H7" s="24"/>
      <c r="I7" s="25"/>
      <c r="J7" s="24"/>
      <c r="L7" s="26" t="s">
        <v>152</v>
      </c>
      <c r="M7" s="28" t="str">
        <f aca="false">IF($U$4=0,"",$U$37)</f>
        <v/>
      </c>
      <c r="N7" s="29" t="s">
        <v>153</v>
      </c>
      <c r="T7" s="15" t="s">
        <v>154</v>
      </c>
      <c r="U7" s="15" t="n">
        <f aca="false">COUNT($AH$6:$AK$24)</f>
        <v>0</v>
      </c>
      <c r="V7" s="15" t="n">
        <f aca="false">COUNT($AM$6:$AP$24)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IF(BN7="","",IF(ISNUMBER($J$7),INT(((2*BN7+$J$7)/3*$U$16)+0.5+0.000000001),BN7*$U$16))</f>
        <v/>
      </c>
      <c r="BP7" s="15" t="n">
        <f aca="false">IF(BO7="",0,IF(BO7&gt;=5*$U$16-0.000000001,1,0))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IF(BT7="","",IF(ISNUMBER($J$7),INT(((2*BT7+$J$7)/3*$U$16)+0.5+0.000000001),BT7*$U$16))</f>
        <v>35</v>
      </c>
      <c r="BV7" s="15" t="n">
        <f aca="false">IF(BU7="",0,IF(BU7&gt;=5*$U$16-0.000000001,1,0))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IFERROR(LARGE($AH$6:$AK$24,6),0)</f>
        <v>0</v>
      </c>
      <c r="CA7" s="15" t="n">
        <f aca="false">CA6+BZ7</f>
        <v>0</v>
      </c>
      <c r="CB7" s="15" t="n">
        <f aca="false">IFERROR(LARGE($AM$6:$AP$24,6),0)</f>
        <v>0</v>
      </c>
      <c r="CC7" s="15" t="n">
        <f aca="false">CC6+CB7</f>
        <v>0</v>
      </c>
    </row>
    <row r="8" customFormat="false" ht="37.5" hidden="false" customHeight="true" outlineLevel="0" collapsed="false">
      <c r="B8" s="21" t="s">
        <v>485</v>
      </c>
      <c r="C8" s="22"/>
      <c r="D8" s="23" t="s">
        <v>148</v>
      </c>
      <c r="E8" s="24"/>
      <c r="F8" s="24"/>
      <c r="G8" s="24"/>
      <c r="H8" s="24"/>
      <c r="I8" s="25"/>
      <c r="J8" s="24"/>
      <c r="L8" s="26" t="s">
        <v>156</v>
      </c>
      <c r="M8" s="28" t="str">
        <f aca="false">IF($U$4=0,"",$U$60)</f>
        <v/>
      </c>
      <c r="N8" s="29" t="s">
        <v>157</v>
      </c>
      <c r="T8" s="15" t="s">
        <v>158</v>
      </c>
      <c r="U8" s="15" t="n">
        <f aca="false">COUNTIF($AH$6:$AK$24,"&gt;=5")</f>
        <v>0</v>
      </c>
      <c r="V8" s="15" t="n">
        <f aca="false">COUNTIF($AM$6:$AP$24,"&gt;=5")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IF(BN8="","",IF(ISNUMBER($J$8),INT(((2*BN8+$J$8)/3*$U$16)+0.5+0.000000001),BN8*$U$16))</f>
        <v/>
      </c>
      <c r="BP8" s="15" t="n">
        <f aca="false">IF(BO8="",0,IF(BO8&gt;=5*$U$16-0.000000001,1,0))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IF(BT8="","",IF(ISNUMBER($J$8),INT(((2*BT8+$J$8)/3*$U$16)+0.5+0.000000001),BT8*$U$16))</f>
        <v>35</v>
      </c>
      <c r="BV8" s="15" t="n">
        <f aca="false">IF(BU8="",0,IF(BU8&gt;=5*$U$16-0.000000001,1,0))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IFERROR(LARGE($AH$6:$AK$24,7),0)</f>
        <v>0</v>
      </c>
      <c r="CA8" s="15" t="n">
        <f aca="false">CA7+BZ8</f>
        <v>0</v>
      </c>
      <c r="CB8" s="15" t="n">
        <f aca="false">IFERROR(LARGE($AM$6:$AP$24,7),0)</f>
        <v>0</v>
      </c>
      <c r="CC8" s="15" t="n">
        <f aca="false">CC7+CB8</f>
        <v>0</v>
      </c>
    </row>
    <row r="9" customFormat="false" ht="37.5" hidden="false" customHeight="true" outlineLevel="0" collapsed="false">
      <c r="B9" s="21" t="s">
        <v>365</v>
      </c>
      <c r="C9" s="22"/>
      <c r="D9" s="23" t="s">
        <v>148</v>
      </c>
      <c r="E9" s="24"/>
      <c r="F9" s="24"/>
      <c r="G9" s="24"/>
      <c r="H9" s="24"/>
      <c r="I9" s="25"/>
      <c r="J9" s="30" t="s">
        <v>160</v>
      </c>
      <c r="L9" s="31" t="s">
        <v>161</v>
      </c>
      <c r="M9" s="32" t="str">
        <f aca="false">IF($U$4=0,"",$U$65)</f>
        <v/>
      </c>
      <c r="N9" s="29" t="s">
        <v>162</v>
      </c>
      <c r="T9" s="15" t="s">
        <v>163</v>
      </c>
      <c r="U9" s="15" t="n">
        <f aca="false">BA6+BA7</f>
        <v>0</v>
      </c>
      <c r="V9" s="15" t="n">
        <f aca="false">BI6+BI7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IF(BN9="","",BN9*$U$16)</f>
        <v/>
      </c>
      <c r="BP9" s="15" t="n">
        <f aca="false">IF(BO9="",0,IF(BO9&gt;=5*$U$16-0.000000001,1,0))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IF(BT9="","",BT9*$U$16)</f>
        <v>35</v>
      </c>
      <c r="BV9" s="15" t="n">
        <f aca="false">IF(BU9="",0,IF(BU9&gt;=5*$U$16-0.000000001,1,0))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IFERROR(LARGE($AH$6:$AK$24,8),0)</f>
        <v>0</v>
      </c>
      <c r="CA9" s="15" t="n">
        <f aca="false">CA8+BZ9</f>
        <v>0</v>
      </c>
      <c r="CB9" s="15" t="n">
        <f aca="false">IFERROR(LARGE($AM$6:$AP$24,8),0)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6" t="s">
        <v>167</v>
      </c>
      <c r="C10" s="6" t="s">
        <v>112</v>
      </c>
      <c r="D10" s="34" t="s">
        <v>168</v>
      </c>
      <c r="E10" s="35" t="s">
        <v>113</v>
      </c>
      <c r="F10" s="35" t="s">
        <v>114</v>
      </c>
      <c r="G10" s="35" t="s">
        <v>115</v>
      </c>
      <c r="H10" s="35" t="s">
        <v>116</v>
      </c>
      <c r="I10" s="20"/>
      <c r="J10" s="20"/>
      <c r="L10" s="31" t="s">
        <v>165</v>
      </c>
      <c r="M10" s="33" t="str">
        <f aca="false">IF($U$4=0,"",IF($U$67=1,$U$68/10,"nicht bestanden"))</f>
        <v/>
      </c>
      <c r="N10" s="29"/>
      <c r="T10" s="15" t="s">
        <v>166</v>
      </c>
      <c r="U10" s="15" t="n">
        <f aca="false">BA8+BA9+SUM($AB$11:$AB$24)</f>
        <v>0</v>
      </c>
      <c r="V10" s="15" t="n">
        <f aca="false">BI8+BI9+SUM($AF$11:$AF$24)</f>
        <v>0</v>
      </c>
      <c r="X10" s="15" t="s">
        <v>171</v>
      </c>
      <c r="Y10" s="15" t="s">
        <v>172</v>
      </c>
      <c r="Z10" s="15" t="s">
        <v>173</v>
      </c>
      <c r="AA10" s="15" t="s">
        <v>174</v>
      </c>
      <c r="AB10" s="15" t="s">
        <v>127</v>
      </c>
      <c r="AC10" s="15" t="s">
        <v>128</v>
      </c>
      <c r="AD10" s="15" t="s">
        <v>175</v>
      </c>
      <c r="AE10" s="15" t="s">
        <v>176</v>
      </c>
      <c r="AF10" s="15" t="s">
        <v>135</v>
      </c>
      <c r="BZ10" s="15" t="n">
        <f aca="false">IFERROR(LARGE($AH$6:$AK$24,9),0)</f>
        <v>0</v>
      </c>
      <c r="CA10" s="15" t="n">
        <f aca="false">CA9+BZ10</f>
        <v>0</v>
      </c>
      <c r="CB10" s="15" t="n">
        <f aca="false">IFERROR(LARGE($AM$6:$AP$24,9),0)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36" t="s">
        <v>177</v>
      </c>
      <c r="C11" s="37"/>
      <c r="D11" s="38"/>
      <c r="E11" s="24"/>
      <c r="F11" s="24"/>
      <c r="G11" s="24"/>
      <c r="H11" s="24"/>
      <c r="I11" s="39"/>
      <c r="J11" s="39"/>
      <c r="L11" s="26" t="s">
        <v>169</v>
      </c>
      <c r="M11" s="28" t="str">
        <f aca="false">IF($U$4=0,"",IF($U$69="","–",$U$69))</f>
        <v/>
      </c>
      <c r="N11" s="29" t="str">
        <f aca="false">IF($U$4=0,"",IF($U$68="","Punkte bis 300",IF($U$69="","Bestnote erreicht","Punkte → "&amp;FIXED(($U$68-1)/10,1))))</f>
        <v/>
      </c>
      <c r="T11" s="15" t="s">
        <v>170</v>
      </c>
      <c r="U11" s="15" t="n">
        <f aca="false">AW8+AW9+AX8+AX9+SUM($Z$11:$Z$24)</f>
        <v>0</v>
      </c>
      <c r="V11" s="15" t="n">
        <f aca="false">BE8+BE9+BF8+BF9+SUM($AD$11:$AD$24)</f>
        <v>56</v>
      </c>
      <c r="X11" s="15" t="n">
        <f aca="false">IF(OR(LEN(TRIM(C11))&gt;0,COUNT(E11:H11)&gt;0),1,0)</f>
        <v>0</v>
      </c>
      <c r="Y11" s="15" t="n">
        <f aca="false">IF(LEN(TRIM(D11))&gt;0,1,0)</f>
        <v>0</v>
      </c>
      <c r="Z11" s="15" t="n">
        <f aca="false">Y11*SUM(E11:H11)</f>
        <v>0</v>
      </c>
      <c r="AA11" s="15" t="n">
        <f aca="false">Y11*COUNT(E11:H11)</f>
        <v>0</v>
      </c>
      <c r="AB11" s="15" t="n">
        <f aca="false">Y11*COUNTIF(E11:H11,"&lt;5")</f>
        <v>0</v>
      </c>
      <c r="AC11" s="15" t="n">
        <f aca="false">Y11*COUNTIF(E11:H11,0)</f>
        <v>0</v>
      </c>
      <c r="AD11" s="15" t="n">
        <f aca="false">Y11*(SUM(E11:H11)+X11*$U$2*(4-COUNT(E11:H11)))</f>
        <v>0</v>
      </c>
      <c r="AE11" s="15" t="n">
        <f aca="false">Y11*(COUNT(E11:H11)+X11*(4-COUNT(E11:H11)))</f>
        <v>0</v>
      </c>
      <c r="AF11" s="15" t="n">
        <f aca="false">Y11*(COUNTIF(E11:H11,"&lt;5")+X11*IF($U$2&lt;5,1,0)*(4-COUNT(E11:H11)))</f>
        <v>0</v>
      </c>
      <c r="AH11" s="15" t="str">
        <f aca="false">IF(Y11=1,"",IF(ISNUMBER(E11),IF(E11=0,"",E11),""))</f>
        <v/>
      </c>
      <c r="AI11" s="15" t="str">
        <f aca="false">IF(Y11=1,"",IF(ISNUMBER(F11),IF(F11=0,"",F11),""))</f>
        <v/>
      </c>
      <c r="AJ11" s="15" t="str">
        <f aca="false">IF(Y11=1,"",IF(ISNUMBER(G11),IF(G11=0,"",G11),""))</f>
        <v/>
      </c>
      <c r="AK11" s="15" t="str">
        <f aca="false">IF(Y11=1,"",IF(ISNUMBER(H11),IF(H11=0,"",H11),""))</f>
        <v/>
      </c>
      <c r="AM11" s="15" t="str">
        <f aca="false">IF(Y11=1,"",IF(ISNUMBER(E11),IF(E11=0,"",E11),IF(X11=1,$U$2,"")))</f>
        <v/>
      </c>
      <c r="AN11" s="15" t="str">
        <f aca="false">IF(Y11=1,"",IF(ISNUMBER(F11),IF(F11=0,"",F11),IF(X11=1,$U$2,"")))</f>
        <v/>
      </c>
      <c r="AO11" s="15" t="str">
        <f aca="false">IF(Y11=1,"",IF(ISNUMBER(G11),IF(G11=0,"",G11),IF(X11=1,$U$2,"")))</f>
        <v/>
      </c>
      <c r="AP11" s="15" t="str">
        <f aca="false">IF(Y11=1,"",IF(ISNUMBER(H11),IF(H11=0,"",H11),IF(X11=1,$U$2,"")))</f>
        <v/>
      </c>
      <c r="AR11" s="15" t="n">
        <f aca="false">IF(Y11=1,IF(ISNUMBER(E11),1,0),IF(AH11="",0,IF(IF($U$36=1,COUNTIF($AH$6:$AK$24,"&gt;"&amp;AH11),COUNTIF($AM$6:$AP$24,"&gt;"&amp;AH11))+COUNTIF($AH$6:$AK$10,AH11)+1&lt;=$U$46,1,0)))</f>
        <v>0</v>
      </c>
      <c r="AS11" s="15" t="n">
        <f aca="false">IF(Y11=1,IF(ISNUMBER(F11),1,0),IF(AI11="",0,IF(IF($U$36=1,COUNTIF($AH$6:$AK$24,"&gt;"&amp;AI11),COUNTIF($AM$6:$AP$24,"&gt;"&amp;AI11))+COUNTIF($AH$6:$AK$10,AI11)+COUNTIF($AH11:AH11,AI11)+1&lt;=$U$46,1,0)))</f>
        <v>0</v>
      </c>
      <c r="AT11" s="15" t="n">
        <f aca="false">IF(Y11=1,IF(ISNUMBER(G11),1,0),IF(AJ11="",0,IF(IF($U$36=1,COUNTIF($AH$6:$AK$24,"&gt;"&amp;AJ11),COUNTIF($AM$6:$AP$24,"&gt;"&amp;AJ11))+COUNTIF($AH$6:$AK$10,AJ11)+COUNTIF($AH11:AI11,AJ11)+1&lt;=$U$46,1,0)))</f>
        <v>0</v>
      </c>
      <c r="AU11" s="15" t="n">
        <f aca="false">IF(Y11=1,IF(ISNUMBER(H11),1,0),IF(AK11="",0,IF(IF($U$36=1,COUNTIF($AH$6:$AK$24,"&gt;"&amp;AK11),COUNTIF($AM$6:$AP$24,"&gt;"&amp;AK11))+COUNTIF($AH$6:$AK$10,AK11)+COUNTIF($AH11:AJ11,AK11)+1&lt;=$U$46,1,0)))</f>
        <v>0</v>
      </c>
      <c r="BZ11" s="15" t="n">
        <f aca="false">IFERROR(LARGE($AH$6:$AK$24,10),0)</f>
        <v>0</v>
      </c>
      <c r="CA11" s="15" t="n">
        <f aca="false">CA10+BZ11</f>
        <v>0</v>
      </c>
      <c r="CB11" s="15" t="n">
        <f aca="false">IFERROR(LARGE($AM$6:$AP$24,10),0)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6" t="s">
        <v>180</v>
      </c>
      <c r="C12" s="37"/>
      <c r="D12" s="38"/>
      <c r="E12" s="24"/>
      <c r="F12" s="24"/>
      <c r="G12" s="24"/>
      <c r="H12" s="24"/>
      <c r="I12" s="39"/>
      <c r="J12" s="39"/>
      <c r="L12" s="26" t="s">
        <v>178</v>
      </c>
      <c r="M12" s="28" t="str">
        <f aca="false">IF(OR($U$4=0,$U$70=""),"",$U$70)</f>
        <v/>
      </c>
      <c r="N12" s="29" t="str">
        <f aca="false">IF(OR($U$4=0,$U$70=""),"","Punkte Luft")</f>
        <v/>
      </c>
      <c r="T12" s="15" t="s">
        <v>179</v>
      </c>
      <c r="U12" s="15" t="n">
        <f aca="false">BB6+BB7+BB8+BB9+SUM($AC$11:$AC$24)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IF(Y12=1,IF(ISNUMBER(E12),1,0),IF(AH12="",0,IF(IF($U$36=1,COUNTIF($AH$6:$AK$24,"&gt;"&amp;AH12),COUNTIF($AM$6:$AP$24,"&gt;"&amp;AH12))+COUNTIF($AH$6:$AK$11,AH12)+1&lt;=$U$46,1,0)))</f>
        <v>0</v>
      </c>
      <c r="AS12" s="15" t="n">
        <f aca="false">IF(Y12=1,IF(ISNUMBER(F12),1,0),IF(AI12="",0,IF(IF($U$36=1,COUNTIF($AH$6:$AK$24,"&gt;"&amp;AI12),COUNTIF($AM$6:$AP$24,"&gt;"&amp;AI12))+COUNTIF($AH$6:$AK$11,AI12)+COUNTIF($AH12:AH12,AI12)+1&lt;=$U$46,1,0)))</f>
        <v>0</v>
      </c>
      <c r="AT12" s="15" t="n">
        <f aca="false">IF(Y12=1,IF(ISNUMBER(G12),1,0),IF(AJ12="",0,IF(IF($U$36=1,COUNTIF($AH$6:$AK$24,"&gt;"&amp;AJ12),COUNTIF($AM$6:$AP$24,"&gt;"&amp;AJ12))+COUNTIF($AH$6:$AK$11,AJ12)+COUNTIF($AH12:AI12,AJ12)+1&lt;=$U$46,1,0)))</f>
        <v>0</v>
      </c>
      <c r="AU12" s="15" t="n">
        <f aca="false">IF(Y12=1,IF(ISNUMBER(H12),1,0),IF(AK12="",0,IF(IF($U$36=1,COUNTIF($AH$6:$AK$24,"&gt;"&amp;AK12),COUNTIF($AM$6:$AP$24,"&gt;"&amp;AK12))+COUNTIF($AH$6:$AK$11,AK12)+COUNTIF($AH12:AJ12,AK12)+1&lt;=$U$46,1,0)))</f>
        <v>0</v>
      </c>
      <c r="BZ12" s="15" t="n">
        <f aca="false">IFERROR(LARGE($AH$6:$AK$24,11),0)</f>
        <v>0</v>
      </c>
      <c r="CA12" s="15" t="n">
        <f aca="false">CA11+BZ12</f>
        <v>0</v>
      </c>
      <c r="CB12" s="15" t="n">
        <f aca="false">IFERROR(LARGE($AM$6:$AP$24,11),0)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183</v>
      </c>
      <c r="C13" s="37"/>
      <c r="D13" s="38"/>
      <c r="E13" s="24"/>
      <c r="F13" s="24"/>
      <c r="G13" s="24"/>
      <c r="H13" s="24"/>
      <c r="I13" s="39"/>
      <c r="J13" s="39"/>
      <c r="L13" s="26" t="s">
        <v>181</v>
      </c>
      <c r="M13" s="28" t="str">
        <f aca="false">IF($U$4=0,"",$U$38)</f>
        <v/>
      </c>
      <c r="N13" s="29" t="str">
        <f aca="false">IF($U$4=0,"","Formel: "&amp;FIXED($U$45,1)&amp;" / "&amp;$U$44&amp;" × 40")</f>
        <v/>
      </c>
      <c r="T13" s="15" t="s">
        <v>182</v>
      </c>
      <c r="U13" s="15" t="n">
        <f aca="false">MATCH(MAX($DH$3:$DH$3),$DH$3:$DH$3,0)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IF(Y13=1,IF(ISNUMBER(E13),1,0),IF(AH13="",0,IF(IF($U$36=1,COUNTIF($AH$6:$AK$24,"&gt;"&amp;AH13),COUNTIF($AM$6:$AP$24,"&gt;"&amp;AH13))+COUNTIF($AH$6:$AK$12,AH13)+1&lt;=$U$46,1,0)))</f>
        <v>0</v>
      </c>
      <c r="AS13" s="15" t="n">
        <f aca="false">IF(Y13=1,IF(ISNUMBER(F13),1,0),IF(AI13="",0,IF(IF($U$36=1,COUNTIF($AH$6:$AK$24,"&gt;"&amp;AI13),COUNTIF($AM$6:$AP$24,"&gt;"&amp;AI13))+COUNTIF($AH$6:$AK$12,AI13)+COUNTIF($AH13:AH13,AI13)+1&lt;=$U$46,1,0)))</f>
        <v>0</v>
      </c>
      <c r="AT13" s="15" t="n">
        <f aca="false">IF(Y13=1,IF(ISNUMBER(G13),1,0),IF(AJ13="",0,IF(IF($U$36=1,COUNTIF($AH$6:$AK$24,"&gt;"&amp;AJ13),COUNTIF($AM$6:$AP$24,"&gt;"&amp;AJ13))+COUNTIF($AH$6:$AK$12,AJ13)+COUNTIF($AH13:AI13,AJ13)+1&lt;=$U$46,1,0)))</f>
        <v>0</v>
      </c>
      <c r="AU13" s="15" t="n">
        <f aca="false">IF(Y13=1,IF(ISNUMBER(H13),1,0),IF(AK13="",0,IF(IF($U$36=1,COUNTIF($AH$6:$AK$24,"&gt;"&amp;AK13),COUNTIF($AM$6:$AP$24,"&gt;"&amp;AK13))+COUNTIF($AH$6:$AK$12,AK13)+COUNTIF($AH13:AJ13,AK13)+1&lt;=$U$46,1,0)))</f>
        <v>0</v>
      </c>
      <c r="BZ13" s="15" t="n">
        <f aca="false">IFERROR(LARGE($AH$6:$AK$24,12),0)</f>
        <v>0</v>
      </c>
      <c r="CA13" s="15" t="n">
        <f aca="false">CA12+BZ13</f>
        <v>0</v>
      </c>
      <c r="CB13" s="15" t="n">
        <f aca="false">IFERROR(LARGE($AM$6:$AP$24,12),0)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186</v>
      </c>
      <c r="C14" s="37"/>
      <c r="D14" s="38"/>
      <c r="E14" s="24"/>
      <c r="F14" s="24"/>
      <c r="G14" s="24"/>
      <c r="H14" s="24"/>
      <c r="I14" s="39"/>
      <c r="J14" s="39"/>
      <c r="L14" s="26" t="s">
        <v>184</v>
      </c>
      <c r="M14" s="28" t="str">
        <f aca="false">IF($U$4=0,"",$U$39)</f>
        <v/>
      </c>
      <c r="N14" s="29" t="str">
        <f aca="false">IF($U$4=0,"","erlaubt: höchstens "&amp;$U$40)</f>
        <v/>
      </c>
      <c r="T14" s="15" t="s">
        <v>185</v>
      </c>
      <c r="U14" s="15" t="n">
        <f aca="false">MATCH(MAX($DH$23:$DH$23),$DH$23:$DH$23,0)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IF(Y14=1,IF(ISNUMBER(E14),1,0),IF(AH14="",0,IF(IF($U$36=1,COUNTIF($AH$6:$AK$24,"&gt;"&amp;AH14),COUNTIF($AM$6:$AP$24,"&gt;"&amp;AH14))+COUNTIF($AH$6:$AK$13,AH14)+1&lt;=$U$46,1,0)))</f>
        <v>0</v>
      </c>
      <c r="AS14" s="15" t="n">
        <f aca="false">IF(Y14=1,IF(ISNUMBER(F14),1,0),IF(AI14="",0,IF(IF($U$36=1,COUNTIF($AH$6:$AK$24,"&gt;"&amp;AI14),COUNTIF($AM$6:$AP$24,"&gt;"&amp;AI14))+COUNTIF($AH$6:$AK$13,AI14)+COUNTIF($AH14:AH14,AI14)+1&lt;=$U$46,1,0)))</f>
        <v>0</v>
      </c>
      <c r="AT14" s="15" t="n">
        <f aca="false">IF(Y14=1,IF(ISNUMBER(G14),1,0),IF(AJ14="",0,IF(IF($U$36=1,COUNTIF($AH$6:$AK$24,"&gt;"&amp;AJ14),COUNTIF($AM$6:$AP$24,"&gt;"&amp;AJ14))+COUNTIF($AH$6:$AK$13,AJ14)+COUNTIF($AH14:AI14,AJ14)+1&lt;=$U$46,1,0)))</f>
        <v>0</v>
      </c>
      <c r="AU14" s="15" t="n">
        <f aca="false">IF(Y14=1,IF(ISNUMBER(H14),1,0),IF(AK14="",0,IF(IF($U$36=1,COUNTIF($AH$6:$AK$24,"&gt;"&amp;AK14),COUNTIF($AM$6:$AP$24,"&gt;"&amp;AK14))+COUNTIF($AH$6:$AK$13,AK14)+COUNTIF($AH14:AJ14,AK14)+1&lt;=$U$46,1,0)))</f>
        <v>0</v>
      </c>
      <c r="BZ14" s="15" t="n">
        <f aca="false">IFERROR(LARGE($AH$6:$AK$24,13),0)</f>
        <v>0</v>
      </c>
      <c r="CA14" s="15" t="n">
        <f aca="false">CA13+BZ14</f>
        <v>0</v>
      </c>
      <c r="CB14" s="15" t="n">
        <f aca="false">IFERROR(LARGE($AM$6:$AP$24,13),0)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190</v>
      </c>
      <c r="C15" s="37"/>
      <c r="D15" s="38"/>
      <c r="E15" s="24"/>
      <c r="F15" s="24"/>
      <c r="G15" s="24"/>
      <c r="H15" s="24"/>
      <c r="I15" s="39"/>
      <c r="J15" s="39"/>
      <c r="L15" s="26" t="s">
        <v>187</v>
      </c>
      <c r="M15" s="28" t="str">
        <f aca="false">IF($U$4=0,"","+"&amp;$U$16)</f>
        <v/>
      </c>
      <c r="N15" s="29" t="s">
        <v>188</v>
      </c>
      <c r="T15" s="15" t="s">
        <v>337</v>
      </c>
      <c r="U15" s="15" t="n">
        <f aca="false">IF(ISNUMBER($I$26),1,0)</f>
        <v>0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IF(Y15=1,IF(ISNUMBER(E15),1,0),IF(AH15="",0,IF(IF($U$36=1,COUNTIF($AH$6:$AK$24,"&gt;"&amp;AH15),COUNTIF($AM$6:$AP$24,"&gt;"&amp;AH15))+COUNTIF($AH$6:$AK$14,AH15)+1&lt;=$U$46,1,0)))</f>
        <v>0</v>
      </c>
      <c r="AS15" s="15" t="n">
        <f aca="false">IF(Y15=1,IF(ISNUMBER(F15),1,0),IF(AI15="",0,IF(IF($U$36=1,COUNTIF($AH$6:$AK$24,"&gt;"&amp;AI15),COUNTIF($AM$6:$AP$24,"&gt;"&amp;AI15))+COUNTIF($AH$6:$AK$14,AI15)+COUNTIF($AH15:AH15,AI15)+1&lt;=$U$46,1,0)))</f>
        <v>0</v>
      </c>
      <c r="AT15" s="15" t="n">
        <f aca="false">IF(Y15=1,IF(ISNUMBER(G15),1,0),IF(AJ15="",0,IF(IF($U$36=1,COUNTIF($AH$6:$AK$24,"&gt;"&amp;AJ15),COUNTIF($AM$6:$AP$24,"&gt;"&amp;AJ15))+COUNTIF($AH$6:$AK$14,AJ15)+COUNTIF($AH15:AI15,AJ15)+1&lt;=$U$46,1,0)))</f>
        <v>0</v>
      </c>
      <c r="AU15" s="15" t="n">
        <f aca="false">IF(Y15=1,IF(ISNUMBER(H15),1,0),IF(AK15="",0,IF(IF($U$36=1,COUNTIF($AH$6:$AK$24,"&gt;"&amp;AK15),COUNTIF($AM$6:$AP$24,"&gt;"&amp;AK15))+COUNTIF($AH$6:$AK$14,AK15)+COUNTIF($AH15:AJ15,AK15)+1&lt;=$U$46,1,0)))</f>
        <v>0</v>
      </c>
      <c r="BZ15" s="15" t="n">
        <f aca="false">IFERROR(LARGE($AH$6:$AK$24,14),0)</f>
        <v>0</v>
      </c>
      <c r="CA15" s="15" t="n">
        <f aca="false">CA14+BZ15</f>
        <v>0</v>
      </c>
      <c r="CB15" s="15" t="n">
        <f aca="false">IFERROR(LARGE($AM$6:$AP$24,14),0)</f>
        <v>0</v>
      </c>
      <c r="CC15" s="15" t="n">
        <f aca="false">CC14+CB15</f>
        <v>0</v>
      </c>
    </row>
    <row r="16" customFormat="false" ht="15" hidden="false" customHeight="false" outlineLevel="0" collapsed="false">
      <c r="B16" s="36" t="s">
        <v>194</v>
      </c>
      <c r="C16" s="37"/>
      <c r="D16" s="38"/>
      <c r="E16" s="24"/>
      <c r="F16" s="24"/>
      <c r="G16" s="24"/>
      <c r="H16" s="24"/>
      <c r="I16" s="39"/>
      <c r="J16" s="39"/>
      <c r="L16" s="26" t="s">
        <v>191</v>
      </c>
      <c r="M16" s="28" t="str">
        <f aca="false">IF($U$4=0,"","≈ +"&amp;FIXED(40/$U$44,2))</f>
        <v/>
      </c>
      <c r="N16" s="29" t="s">
        <v>192</v>
      </c>
      <c r="T16" s="15" t="s">
        <v>189</v>
      </c>
      <c r="U16" s="15" t="n">
        <f aca="false">IF($U$15=1,4,5)</f>
        <v>5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IF(Y16=1,IF(ISNUMBER(E16),1,0),IF(AH16="",0,IF(IF($U$36=1,COUNTIF($AH$6:$AK$24,"&gt;"&amp;AH16),COUNTIF($AM$6:$AP$24,"&gt;"&amp;AH16))+COUNTIF($AH$6:$AK$15,AH16)+1&lt;=$U$46,1,0)))</f>
        <v>0</v>
      </c>
      <c r="AS16" s="15" t="n">
        <f aca="false">IF(Y16=1,IF(ISNUMBER(F16),1,0),IF(AI16="",0,IF(IF($U$36=1,COUNTIF($AH$6:$AK$24,"&gt;"&amp;AI16),COUNTIF($AM$6:$AP$24,"&gt;"&amp;AI16))+COUNTIF($AH$6:$AK$15,AI16)+COUNTIF($AH16:AH16,AI16)+1&lt;=$U$46,1,0)))</f>
        <v>0</v>
      </c>
      <c r="AT16" s="15" t="n">
        <f aca="false">IF(Y16=1,IF(ISNUMBER(G16),1,0),IF(AJ16="",0,IF(IF($U$36=1,COUNTIF($AH$6:$AK$24,"&gt;"&amp;AJ16),COUNTIF($AM$6:$AP$24,"&gt;"&amp;AJ16))+COUNTIF($AH$6:$AK$15,AJ16)+COUNTIF($AH16:AI16,AJ16)+1&lt;=$U$46,1,0)))</f>
        <v>0</v>
      </c>
      <c r="AU16" s="15" t="n">
        <f aca="false">IF(Y16=1,IF(ISNUMBER(H16),1,0),IF(AK16="",0,IF(IF($U$36=1,COUNTIF($AH$6:$AK$24,"&gt;"&amp;AK16),COUNTIF($AM$6:$AP$24,"&gt;"&amp;AK16))+COUNTIF($AH$6:$AK$15,AK16)+COUNTIF($AH16:AJ16,AK16)+1&lt;=$U$46,1,0)))</f>
        <v>0</v>
      </c>
      <c r="BZ16" s="15" t="n">
        <f aca="false">IFERROR(LARGE($AH$6:$AK$24,15),0)</f>
        <v>0</v>
      </c>
      <c r="CA16" s="15" t="n">
        <f aca="false">CA15+BZ16</f>
        <v>0</v>
      </c>
      <c r="CB16" s="15" t="n">
        <f aca="false">IFERROR(LARGE($AM$6:$AP$24,15),0)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196</v>
      </c>
      <c r="C17" s="37"/>
      <c r="D17" s="38"/>
      <c r="E17" s="24"/>
      <c r="F17" s="24"/>
      <c r="G17" s="24"/>
      <c r="H17" s="24"/>
      <c r="I17" s="39"/>
      <c r="J17" s="39"/>
      <c r="T17" s="15" t="s">
        <v>193</v>
      </c>
      <c r="U17" s="15" t="n">
        <f aca="false">MIN(300,INT((SUM(BO6,BO7,BO8,BO9,BO26))+0.5+0.000000001))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IF(Y17=1,IF(ISNUMBER(E17),1,0),IF(AH17="",0,IF(IF($U$36=1,COUNTIF($AH$6:$AK$24,"&gt;"&amp;AH17),COUNTIF($AM$6:$AP$24,"&gt;"&amp;AH17))+COUNTIF($AH$6:$AK$16,AH17)+1&lt;=$U$46,1,0)))</f>
        <v>0</v>
      </c>
      <c r="AS17" s="15" t="n">
        <f aca="false">IF(Y17=1,IF(ISNUMBER(F17),1,0),IF(AI17="",0,IF(IF($U$36=1,COUNTIF($AH$6:$AK$24,"&gt;"&amp;AI17),COUNTIF($AM$6:$AP$24,"&gt;"&amp;AI17))+COUNTIF($AH$6:$AK$16,AI17)+COUNTIF($AH17:AH17,AI17)+1&lt;=$U$46,1,0)))</f>
        <v>0</v>
      </c>
      <c r="AT17" s="15" t="n">
        <f aca="false">IF(Y17=1,IF(ISNUMBER(G17),1,0),IF(AJ17="",0,IF(IF($U$36=1,COUNTIF($AH$6:$AK$24,"&gt;"&amp;AJ17),COUNTIF($AM$6:$AP$24,"&gt;"&amp;AJ17))+COUNTIF($AH$6:$AK$16,AJ17)+COUNTIF($AH17:AI17,AJ17)+1&lt;=$U$46,1,0)))</f>
        <v>0</v>
      </c>
      <c r="AU17" s="15" t="n">
        <f aca="false">IF(Y17=1,IF(ISNUMBER(H17),1,0),IF(AK17="",0,IF(IF($U$36=1,COUNTIF($AH$6:$AK$24,"&gt;"&amp;AK17),COUNTIF($AM$6:$AP$24,"&gt;"&amp;AK17))+COUNTIF($AH$6:$AK$16,AK17)+COUNTIF($AH17:AJ17,AK17)+1&lt;=$U$46,1,0)))</f>
        <v>0</v>
      </c>
      <c r="BZ17" s="15" t="n">
        <f aca="false">IFERROR(LARGE($AH$6:$AK$24,16),0)</f>
        <v>0</v>
      </c>
      <c r="CA17" s="15" t="n">
        <f aca="false">CA16+BZ17</f>
        <v>0</v>
      </c>
      <c r="CB17" s="15" t="n">
        <f aca="false">IFERROR(LARGE($AM$6:$AP$24,16),0)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200</v>
      </c>
      <c r="C18" s="37"/>
      <c r="D18" s="38"/>
      <c r="E18" s="24"/>
      <c r="F18" s="24"/>
      <c r="G18" s="24"/>
      <c r="H18" s="24"/>
      <c r="I18" s="39"/>
      <c r="J18" s="39"/>
      <c r="L18" s="40" t="s">
        <v>197</v>
      </c>
      <c r="M18" s="41" t="s">
        <v>149</v>
      </c>
      <c r="N18" s="6" t="s">
        <v>198</v>
      </c>
      <c r="T18" s="15" t="s">
        <v>195</v>
      </c>
      <c r="U18" s="15" t="n">
        <f aca="false">SUM(BP6,BP7,BP8,BP9,BP26)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IF(Y18=1,IF(ISNUMBER(E18),1,0),IF(AH18="",0,IF(IF($U$36=1,COUNTIF($AH$6:$AK$24,"&gt;"&amp;AH18),COUNTIF($AM$6:$AP$24,"&gt;"&amp;AH18))+COUNTIF($AH$6:$AK$17,AH18)+1&lt;=$U$46,1,0)))</f>
        <v>0</v>
      </c>
      <c r="AS18" s="15" t="n">
        <f aca="false">IF(Y18=1,IF(ISNUMBER(F18),1,0),IF(AI18="",0,IF(IF($U$36=1,COUNTIF($AH$6:$AK$24,"&gt;"&amp;AI18),COUNTIF($AM$6:$AP$24,"&gt;"&amp;AI18))+COUNTIF($AH$6:$AK$17,AI18)+COUNTIF($AH18:AH18,AI18)+1&lt;=$U$46,1,0)))</f>
        <v>0</v>
      </c>
      <c r="AT18" s="15" t="n">
        <f aca="false">IF(Y18=1,IF(ISNUMBER(G18),1,0),IF(AJ18="",0,IF(IF($U$36=1,COUNTIF($AH$6:$AK$24,"&gt;"&amp;AJ18),COUNTIF($AM$6:$AP$24,"&gt;"&amp;AJ18))+COUNTIF($AH$6:$AK$17,AJ18)+COUNTIF($AH18:AI18,AJ18)+1&lt;=$U$46,1,0)))</f>
        <v>0</v>
      </c>
      <c r="AU18" s="15" t="n">
        <f aca="false">IF(Y18=1,IF(ISNUMBER(H18),1,0),IF(AK18="",0,IF(IF($U$36=1,COUNTIF($AH$6:$AK$24,"&gt;"&amp;AK18),COUNTIF($AM$6:$AP$24,"&gt;"&amp;AK18))+COUNTIF($AH$6:$AK$17,AK18)+COUNTIF($AH18:AJ18,AK18)+1&lt;=$U$46,1,0)))</f>
        <v>0</v>
      </c>
      <c r="BZ18" s="15" t="n">
        <f aca="false">IFERROR(LARGE($AH$6:$AK$24,17),0)</f>
        <v>0</v>
      </c>
      <c r="CA18" s="15" t="n">
        <f aca="false">CA17+BZ18</f>
        <v>0</v>
      </c>
      <c r="CB18" s="15" t="n">
        <f aca="false">IFERROR(LARGE($AM$6:$AP$24,17),0)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203</v>
      </c>
      <c r="C19" s="37"/>
      <c r="D19" s="38"/>
      <c r="E19" s="24"/>
      <c r="F19" s="24"/>
      <c r="G19" s="24"/>
      <c r="H19" s="24"/>
      <c r="I19" s="39"/>
      <c r="J19" s="39"/>
      <c r="L19" s="42" t="s">
        <v>201</v>
      </c>
      <c r="M19" s="43" t="str">
        <f aca="false">IF($U$4=0,"",IF($U$48=1,"✓ erfüllt","✗ nicht erfüllt"))</f>
        <v/>
      </c>
      <c r="N19" s="36" t="str">
        <f aca="false">IF($U$4=0,"",$U$37&amp;" Punkte")</f>
        <v/>
      </c>
      <c r="T19" s="15" t="s">
        <v>199</v>
      </c>
      <c r="U19" s="15" t="n">
        <f aca="false">0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IF(Y19=1,IF(ISNUMBER(E19),1,0),IF(AH19="",0,IF(IF($U$36=1,COUNTIF($AH$6:$AK$24,"&gt;"&amp;AH19),COUNTIF($AM$6:$AP$24,"&gt;"&amp;AH19))+COUNTIF($AH$6:$AK$18,AH19)+1&lt;=$U$46,1,0)))</f>
        <v>0</v>
      </c>
      <c r="AS19" s="15" t="n">
        <f aca="false">IF(Y19=1,IF(ISNUMBER(F19),1,0),IF(AI19="",0,IF(IF($U$36=1,COUNTIF($AH$6:$AK$24,"&gt;"&amp;AI19),COUNTIF($AM$6:$AP$24,"&gt;"&amp;AI19))+COUNTIF($AH$6:$AK$18,AI19)+COUNTIF($AH19:AH19,AI19)+1&lt;=$U$46,1,0)))</f>
        <v>0</v>
      </c>
      <c r="AT19" s="15" t="n">
        <f aca="false">IF(Y19=1,IF(ISNUMBER(G19),1,0),IF(AJ19="",0,IF(IF($U$36=1,COUNTIF($AH$6:$AK$24,"&gt;"&amp;AJ19),COUNTIF($AM$6:$AP$24,"&gt;"&amp;AJ19))+COUNTIF($AH$6:$AK$18,AJ19)+COUNTIF($AH19:AI19,AJ19)+1&lt;=$U$46,1,0)))</f>
        <v>0</v>
      </c>
      <c r="AU19" s="15" t="n">
        <f aca="false">IF(Y19=1,IF(ISNUMBER(H19),1,0),IF(AK19="",0,IF(IF($U$36=1,COUNTIF($AH$6:$AK$24,"&gt;"&amp;AK19),COUNTIF($AM$6:$AP$24,"&gt;"&amp;AK19))+COUNTIF($AH$6:$AK$18,AK19)+COUNTIF($AH19:AJ19,AK19)+1&lt;=$U$46,1,0)))</f>
        <v>0</v>
      </c>
      <c r="BZ19" s="15" t="n">
        <f aca="false">IFERROR(LARGE($AH$6:$AK$24,18),0)</f>
        <v>0</v>
      </c>
      <c r="CA19" s="15" t="n">
        <f aca="false">CA18+BZ19</f>
        <v>0</v>
      </c>
      <c r="CB19" s="15" t="n">
        <f aca="false">IFERROR(LARGE($AM$6:$AP$24,18),0)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205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"&amp;$U$40&amp;" Unterkurse (unter 5 Punkten)"</f>
        <v>Höchstens 7 Unterkurse (unter 5 Punkten)</v>
      </c>
      <c r="M20" s="43" t="str">
        <f aca="false">IF($U$4=0,"",IF($U$49=1,"✓ erfüllt","✗ nicht erfüllt"))</f>
        <v/>
      </c>
      <c r="N20" s="36" t="str">
        <f aca="false">IF($U$4=0,"",$U$39&amp;" Unterkurse")</f>
        <v/>
      </c>
      <c r="T20" s="15" t="s">
        <v>202</v>
      </c>
      <c r="U20" s="15" t="n">
        <f aca="false">BQ6+BQ7+BQ8+BQ9+BQ26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IF(Y20=1,IF(ISNUMBER(E20),1,0),IF(AH20="",0,IF(IF($U$36=1,COUNTIF($AH$6:$AK$24,"&gt;"&amp;AH20),COUNTIF($AM$6:$AP$24,"&gt;"&amp;AH20))+COUNTIF($AH$6:$AK$19,AH20)+1&lt;=$U$46,1,0)))</f>
        <v>0</v>
      </c>
      <c r="AS20" s="15" t="n">
        <f aca="false">IF(Y20=1,IF(ISNUMBER(F20),1,0),IF(AI20="",0,IF(IF($U$36=1,COUNTIF($AH$6:$AK$24,"&gt;"&amp;AI20),COUNTIF($AM$6:$AP$24,"&gt;"&amp;AI20))+COUNTIF($AH$6:$AK$19,AI20)+COUNTIF($AH20:AH20,AI20)+1&lt;=$U$46,1,0)))</f>
        <v>0</v>
      </c>
      <c r="AT20" s="15" t="n">
        <f aca="false">IF(Y20=1,IF(ISNUMBER(G20),1,0),IF(AJ20="",0,IF(IF($U$36=1,COUNTIF($AH$6:$AK$24,"&gt;"&amp;AJ20),COUNTIF($AM$6:$AP$24,"&gt;"&amp;AJ20))+COUNTIF($AH$6:$AK$19,AJ20)+COUNTIF($AH20:AI20,AJ20)+1&lt;=$U$46,1,0)))</f>
        <v>0</v>
      </c>
      <c r="AU20" s="15" t="n">
        <f aca="false">IF(Y20=1,IF(ISNUMBER(H20),1,0),IF(AK20="",0,IF(IF($U$36=1,COUNTIF($AH$6:$AK$24,"&gt;"&amp;AK20),COUNTIF($AM$6:$AP$24,"&gt;"&amp;AK20))+COUNTIF($AH$6:$AK$19,AK20)+COUNTIF($AH20:AJ20,AK20)+1&lt;=$U$46,1,0)))</f>
        <v>0</v>
      </c>
      <c r="BZ20" s="15" t="n">
        <f aca="false">IFERROR(LARGE($AH$6:$AK$24,19),0)</f>
        <v>0</v>
      </c>
      <c r="CA20" s="15" t="n">
        <f aca="false">CA19+BZ20</f>
        <v>0</v>
      </c>
      <c r="CB20" s="15" t="n">
        <f aca="false">IFERROR(LARGE($AM$6:$AP$24,19),0)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208</v>
      </c>
      <c r="C21" s="37"/>
      <c r="D21" s="38"/>
      <c r="E21" s="24"/>
      <c r="F21" s="24"/>
      <c r="G21" s="24"/>
      <c r="H21" s="24"/>
      <c r="I21" s="39"/>
      <c r="J21" s="39"/>
      <c r="L21" s="42" t="s">
        <v>209</v>
      </c>
      <c r="M21" s="43" t="str">
        <f aca="false">IF($U$4=0,"",IF($U$54=1,"✓ erfüllt","✗ nicht erfüllt"))</f>
        <v/>
      </c>
      <c r="N21" s="36" t="str">
        <f aca="false">IF($U$4=0,"",$U$12&amp;" mit 0 Punkten")</f>
        <v/>
      </c>
      <c r="T21" s="15" t="s">
        <v>204</v>
      </c>
      <c r="U21" s="15" t="n">
        <f aca="false">BR6+BR7+BR8+BR9+BR26</f>
        <v>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IF(Y21=1,IF(ISNUMBER(E21),1,0),IF(AH21="",0,IF(IF($U$36=1,COUNTIF($AH$6:$AK$24,"&gt;"&amp;AH21),COUNTIF($AM$6:$AP$24,"&gt;"&amp;AH21))+COUNTIF($AH$6:$AK$20,AH21)+1&lt;=$U$46,1,0)))</f>
        <v>0</v>
      </c>
      <c r="AS21" s="15" t="n">
        <f aca="false">IF(Y21=1,IF(ISNUMBER(F21),1,0),IF(AI21="",0,IF(IF($U$36=1,COUNTIF($AH$6:$AK$24,"&gt;"&amp;AI21),COUNTIF($AM$6:$AP$24,"&gt;"&amp;AI21))+COUNTIF($AH$6:$AK$20,AI21)+COUNTIF($AH21:AH21,AI21)+1&lt;=$U$46,1,0)))</f>
        <v>0</v>
      </c>
      <c r="AT21" s="15" t="n">
        <f aca="false">IF(Y21=1,IF(ISNUMBER(G21),1,0),IF(AJ21="",0,IF(IF($U$36=1,COUNTIF($AH$6:$AK$24,"&gt;"&amp;AJ21),COUNTIF($AM$6:$AP$24,"&gt;"&amp;AJ21))+COUNTIF($AH$6:$AK$20,AJ21)+COUNTIF($AH21:AI21,AJ21)+1&lt;=$U$46,1,0)))</f>
        <v>0</v>
      </c>
      <c r="AU21" s="15" t="n">
        <f aca="false">IF(Y21=1,IF(ISNUMBER(H21),1,0),IF(AK21="",0,IF(IF($U$36=1,COUNTIF($AH$6:$AK$24,"&gt;"&amp;AK21),COUNTIF($AM$6:$AP$24,"&gt;"&amp;AK21))+COUNTIF($AH$6:$AK$20,AK21)+COUNTIF($AH21:AJ21,AK21)+1&lt;=$U$46,1,0)))</f>
        <v>0</v>
      </c>
      <c r="BZ21" s="15" t="n">
        <f aca="false">IFERROR(LARGE($AH$6:$AK$24,20),0)</f>
        <v>0</v>
      </c>
      <c r="CA21" s="15" t="n">
        <f aca="false">CA20+BZ21</f>
        <v>0</v>
      </c>
      <c r="CB21" s="15" t="n">
        <f aca="false">IFERROR(LARGE($AM$6:$AP$24,20),0)</f>
        <v>0</v>
      </c>
      <c r="CC21" s="15" t="n">
        <f aca="false">CC20+CB21</f>
        <v>0</v>
      </c>
    </row>
    <row r="22" customFormat="false" ht="22.35" hidden="false" customHeight="false" outlineLevel="0" collapsed="false">
      <c r="B22" s="36" t="s">
        <v>211</v>
      </c>
      <c r="C22" s="37"/>
      <c r="D22" s="38"/>
      <c r="E22" s="24"/>
      <c r="F22" s="24"/>
      <c r="G22" s="24"/>
      <c r="H22" s="24"/>
      <c r="I22" s="39"/>
      <c r="J22" s="39"/>
      <c r="L22" s="42" t="s">
        <v>212</v>
      </c>
      <c r="M22" s="43" t="str">
        <f aca="false">IF($U$4=0,"",IF($U$57=1,"✓ erfüllt","✗ nicht erfüllt"))</f>
        <v/>
      </c>
      <c r="N22" s="36"/>
      <c r="T22" s="15" t="s">
        <v>207</v>
      </c>
      <c r="U22" s="15" t="n">
        <f aca="false">MIN(300,INT((SUM(BU6,BU7,BU8,BU9,BU26))+0.5+0.000000001))</f>
        <v>140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IF(Y22=1,IF(ISNUMBER(E22),1,0),IF(AH22="",0,IF(IF($U$36=1,COUNTIF($AH$6:$AK$24,"&gt;"&amp;AH22),COUNTIF($AM$6:$AP$24,"&gt;"&amp;AH22))+COUNTIF($AH$6:$AK$21,AH22)+1&lt;=$U$46,1,0)))</f>
        <v>0</v>
      </c>
      <c r="AS22" s="15" t="n">
        <f aca="false">IF(Y22=1,IF(ISNUMBER(F22),1,0),IF(AI22="",0,IF(IF($U$36=1,COUNTIF($AH$6:$AK$24,"&gt;"&amp;AI22),COUNTIF($AM$6:$AP$24,"&gt;"&amp;AI22))+COUNTIF($AH$6:$AK$21,AI22)+COUNTIF($AH22:AH22,AI22)+1&lt;=$U$46,1,0)))</f>
        <v>0</v>
      </c>
      <c r="AT22" s="15" t="n">
        <f aca="false">IF(Y22=1,IF(ISNUMBER(G22),1,0),IF(AJ22="",0,IF(IF($U$36=1,COUNTIF($AH$6:$AK$24,"&gt;"&amp;AJ22),COUNTIF($AM$6:$AP$24,"&gt;"&amp;AJ22))+COUNTIF($AH$6:$AK$21,AJ22)+COUNTIF($AH22:AI22,AJ22)+1&lt;=$U$46,1,0)))</f>
        <v>0</v>
      </c>
      <c r="AU22" s="15" t="n">
        <f aca="false">IF(Y22=1,IF(ISNUMBER(H22),1,0),IF(AK22="",0,IF(IF($U$36=1,COUNTIF($AH$6:$AK$24,"&gt;"&amp;AK22),COUNTIF($AM$6:$AP$24,"&gt;"&amp;AK22))+COUNTIF($AH$6:$AK$21,AK22)+COUNTIF($AH22:AJ22,AK22)+1&lt;=$U$46,1,0)))</f>
        <v>0</v>
      </c>
      <c r="BZ22" s="15" t="n">
        <f aca="false">IFERROR(LARGE($AH$6:$AK$24,21),0)</f>
        <v>0</v>
      </c>
      <c r="CA22" s="15" t="n">
        <f aca="false">CA21+BZ22</f>
        <v>0</v>
      </c>
      <c r="CB22" s="15" t="n">
        <f aca="false">IFERROR(LARGE($AM$6:$AP$24,21),0)</f>
        <v>0</v>
      </c>
      <c r="CC22" s="15" t="n">
        <f aca="false">CC21+CB22</f>
        <v>0</v>
      </c>
      <c r="CE22" s="15" t="s">
        <v>79</v>
      </c>
      <c r="CF22" s="15" t="s">
        <v>80</v>
      </c>
      <c r="CG22" s="15" t="s">
        <v>81</v>
      </c>
      <c r="CH22" s="15" t="s">
        <v>82</v>
      </c>
      <c r="CI22" s="15" t="s">
        <v>83</v>
      </c>
      <c r="CJ22" s="15" t="s">
        <v>84</v>
      </c>
      <c r="CK22" s="15" t="s">
        <v>85</v>
      </c>
      <c r="CL22" s="15" t="s">
        <v>86</v>
      </c>
      <c r="CM22" s="15" t="s">
        <v>87</v>
      </c>
      <c r="CN22" s="15" t="s">
        <v>88</v>
      </c>
      <c r="CO22" s="15" t="s">
        <v>89</v>
      </c>
      <c r="CP22" s="15" t="s">
        <v>90</v>
      </c>
      <c r="CQ22" s="15" t="s">
        <v>91</v>
      </c>
      <c r="CR22" s="15" t="s">
        <v>92</v>
      </c>
      <c r="CS22" s="15" t="s">
        <v>93</v>
      </c>
      <c r="CT22" s="15" t="s">
        <v>94</v>
      </c>
      <c r="CU22" s="15" t="s">
        <v>95</v>
      </c>
      <c r="CV22" s="15" t="s">
        <v>96</v>
      </c>
      <c r="CW22" s="15" t="s">
        <v>97</v>
      </c>
      <c r="CX22" s="15" t="s">
        <v>98</v>
      </c>
      <c r="CY22" s="15" t="s">
        <v>99</v>
      </c>
      <c r="CZ22" s="15" t="s">
        <v>100</v>
      </c>
      <c r="DA22" s="15" t="s">
        <v>101</v>
      </c>
      <c r="DB22" s="15" t="s">
        <v>102</v>
      </c>
      <c r="DC22" s="15" t="s">
        <v>103</v>
      </c>
      <c r="DD22" s="15" t="s">
        <v>104</v>
      </c>
      <c r="DE22" s="15" t="s">
        <v>105</v>
      </c>
      <c r="DF22" s="15" t="s">
        <v>106</v>
      </c>
      <c r="DG22" s="15" t="s">
        <v>107</v>
      </c>
      <c r="DH22" s="15" t="s">
        <v>108</v>
      </c>
    </row>
    <row r="23" customFormat="false" ht="15" hidden="false" customHeight="false" outlineLevel="0" collapsed="false">
      <c r="B23" s="36" t="s">
        <v>214</v>
      </c>
      <c r="C23" s="37"/>
      <c r="D23" s="38"/>
      <c r="E23" s="24"/>
      <c r="F23" s="24"/>
      <c r="G23" s="24"/>
      <c r="H23" s="24"/>
      <c r="I23" s="39"/>
      <c r="J23" s="39"/>
      <c r="L23" s="42" t="s">
        <v>215</v>
      </c>
      <c r="M23" s="43" t="str">
        <f aca="false">IF($U$4=0,"",IF($U$62=1,"✓ erfüllt","✗ nicht erfüllt"))</f>
        <v/>
      </c>
      <c r="N23" s="36" t="str">
        <f aca="false">IF($U$4=0,"",$U$60&amp;" Punkte")</f>
        <v/>
      </c>
      <c r="T23" s="15" t="s">
        <v>210</v>
      </c>
      <c r="U23" s="15" t="n">
        <f aca="false">SUM(BV6,BV7,BV8,BV9,BV26)</f>
        <v>4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IF(Y23=1,IF(ISNUMBER(E23),1,0),IF(AH23="",0,IF(IF($U$36=1,COUNTIF($AH$6:$AK$24,"&gt;"&amp;AH23),COUNTIF($AM$6:$AP$24,"&gt;"&amp;AH23))+COUNTIF($AH$6:$AK$22,AH23)+1&lt;=$U$46,1,0)))</f>
        <v>0</v>
      </c>
      <c r="AS23" s="15" t="n">
        <f aca="false">IF(Y23=1,IF(ISNUMBER(F23),1,0),IF(AI23="",0,IF(IF($U$36=1,COUNTIF($AH$6:$AK$24,"&gt;"&amp;AI23),COUNTIF($AM$6:$AP$24,"&gt;"&amp;AI23))+COUNTIF($AH$6:$AK$22,AI23)+COUNTIF($AH23:AH23,AI23)+1&lt;=$U$46,1,0)))</f>
        <v>0</v>
      </c>
      <c r="AT23" s="15" t="n">
        <f aca="false">IF(Y23=1,IF(ISNUMBER(G23),1,0),IF(AJ23="",0,IF(IF($U$36=1,COUNTIF($AH$6:$AK$24,"&gt;"&amp;AJ23),COUNTIF($AM$6:$AP$24,"&gt;"&amp;AJ23))+COUNTIF($AH$6:$AK$22,AJ23)+COUNTIF($AH23:AI23,AJ23)+1&lt;=$U$46,1,0)))</f>
        <v>0</v>
      </c>
      <c r="AU23" s="15" t="n">
        <f aca="false">IF(Y23=1,IF(ISNUMBER(H23),1,0),IF(AK23="",0,IF(IF($U$36=1,COUNTIF($AH$6:$AK$24,"&gt;"&amp;AK23),COUNTIF($AM$6:$AP$24,"&gt;"&amp;AK23))+COUNTIF($AH$6:$AK$22,AK23)+COUNTIF($AH23:AJ23,AK23)+1&lt;=$U$46,1,0)))</f>
        <v>0</v>
      </c>
      <c r="BZ23" s="15" t="n">
        <f aca="false">IFERROR(LARGE($AH$6:$AK$24,22),0)</f>
        <v>0</v>
      </c>
      <c r="CA23" s="15" t="n">
        <f aca="false">CA22+BZ23</f>
        <v>0</v>
      </c>
      <c r="CB23" s="15" t="n">
        <f aca="false">IFERROR(LARGE($AM$6:$AP$24,22),0)</f>
        <v>0</v>
      </c>
      <c r="CC23" s="15" t="n">
        <f aca="false">CC22+CB23</f>
        <v>0</v>
      </c>
      <c r="CE23" s="15" t="n">
        <f aca="false">36</f>
        <v>36</v>
      </c>
      <c r="CF23" s="15" t="n">
        <f aca="false">CE23-$V$5-$V$6-0</f>
        <v>20</v>
      </c>
      <c r="CG23" s="15" t="n">
        <f aca="false">MAX(0,CF23)</f>
        <v>20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20</v>
      </c>
      <c r="CK23" s="15" t="n">
        <f aca="false">$V$5+CH23+CJ23</f>
        <v>36</v>
      </c>
      <c r="CL23" s="15" t="n">
        <f aca="false">2*BE6+2*BF6+2*BE7+2*BF7</f>
        <v>112</v>
      </c>
      <c r="CM23" s="15" t="n">
        <f aca="false">2*BG6+2*BH6+2*BG7+2*BH7+1*BG8+1*BH8+1*BG9+1*BH9+SUM($AE$11:$AE$24)</f>
        <v>24</v>
      </c>
      <c r="CN23" s="15" t="n">
        <f aca="false">IF(CH23=0,0,INDEX($CC$2:$CC$57,CH23))</f>
        <v>0</v>
      </c>
      <c r="CO23" s="15" t="n">
        <f aca="false">CL23+$V$11+CN23+CJ23*$U$2</f>
        <v>308</v>
      </c>
      <c r="CP23" s="15" t="n">
        <f aca="false">CM23+CH23+CJ23</f>
        <v>44</v>
      </c>
      <c r="CQ23" s="15" t="n">
        <f aca="false">IF(CP23&gt;0,MIN(600,INT((CO23/CP23*40)+0.5+0.000000001)),0)</f>
        <v>280</v>
      </c>
      <c r="CR23" s="15" t="n">
        <f aca="false">$V$9+CT23</f>
        <v>0</v>
      </c>
      <c r="CS23" s="15" t="n">
        <f aca="false">7</f>
        <v>7</v>
      </c>
      <c r="CT23" s="15" t="n">
        <f aca="false">$V$10+MAX(0,CH23-$V$8)+CJ23*IF($U$2&lt;5,1,0)</f>
        <v>0</v>
      </c>
      <c r="CU23" s="15" t="n">
        <f aca="false">$V$11+CN23+CJ23*$U$2</f>
        <v>196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1</f>
        <v>1</v>
      </c>
      <c r="CY23" s="15" t="n">
        <f aca="false">1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1028064</v>
      </c>
    </row>
    <row r="24" customFormat="false" ht="15" hidden="false" customHeight="false" outlineLevel="0" collapsed="false">
      <c r="B24" s="36" t="s">
        <v>217</v>
      </c>
      <c r="C24" s="37"/>
      <c r="D24" s="38"/>
      <c r="E24" s="24"/>
      <c r="F24" s="24"/>
      <c r="G24" s="24"/>
      <c r="H24" s="24"/>
      <c r="I24" s="39"/>
      <c r="J24" s="39"/>
      <c r="L24" s="42" t="str">
        <f aca="false">"In mindestens "&amp;$U$27&amp;" Prüfungen mindestens 5 Punkte (einfach)"</f>
        <v>In mindestens 2 Prüfungen mindestens 5 Punkte (einfach)</v>
      </c>
      <c r="M24" s="43" t="str">
        <f aca="false">IF($U$4=0,"",IF($U$63=1,"✓ erfüllt","✗ nicht erfüllt"))</f>
        <v/>
      </c>
      <c r="N24" s="36" t="str">
        <f aca="false">IF($U$4=0,"",$U$61&amp;" Prüfungen")</f>
        <v/>
      </c>
      <c r="T24" s="15" t="s">
        <v>213</v>
      </c>
      <c r="U24" s="15" t="n">
        <f aca="false">0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IF(Y24=1,IF(ISNUMBER(E24),1,0),IF(AH24="",0,IF(IF($U$36=1,COUNTIF($AH$6:$AK$24,"&gt;"&amp;AH24),COUNTIF($AM$6:$AP$24,"&gt;"&amp;AH24))+COUNTIF($AH$6:$AK$23,AH24)+1&lt;=$U$46,1,0)))</f>
        <v>0</v>
      </c>
      <c r="AS24" s="15" t="n">
        <f aca="false">IF(Y24=1,IF(ISNUMBER(F24),1,0),IF(AI24="",0,IF(IF($U$36=1,COUNTIF($AH$6:$AK$24,"&gt;"&amp;AI24),COUNTIF($AM$6:$AP$24,"&gt;"&amp;AI24))+COUNTIF($AH$6:$AK$23,AI24)+COUNTIF($AH24:AH24,AI24)+1&lt;=$U$46,1,0)))</f>
        <v>0</v>
      </c>
      <c r="AT24" s="15" t="n">
        <f aca="false">IF(Y24=1,IF(ISNUMBER(G24),1,0),IF(AJ24="",0,IF(IF($U$36=1,COUNTIF($AH$6:$AK$24,"&gt;"&amp;AJ24),COUNTIF($AM$6:$AP$24,"&gt;"&amp;AJ24))+COUNTIF($AH$6:$AK$23,AJ24)+COUNTIF($AH24:AI24,AJ24)+1&lt;=$U$46,1,0)))</f>
        <v>0</v>
      </c>
      <c r="AU24" s="15" t="n">
        <f aca="false">IF(Y24=1,IF(ISNUMBER(H24),1,0),IF(AK24="",0,IF(IF($U$36=1,COUNTIF($AH$6:$AK$24,"&gt;"&amp;AK24),COUNTIF($AM$6:$AP$24,"&gt;"&amp;AK24))+COUNTIF($AH$6:$AK$23,AK24)+COUNTIF($AH24:AJ24,AK24)+1&lt;=$U$46,1,0)))</f>
        <v>0</v>
      </c>
      <c r="BZ24" s="15" t="n">
        <f aca="false">IFERROR(LARGE($AH$6:$AK$24,23),0)</f>
        <v>0</v>
      </c>
      <c r="CA24" s="15" t="n">
        <f aca="false">CA23+BZ24</f>
        <v>0</v>
      </c>
      <c r="CB24" s="15" t="n">
        <f aca="false">IFERROR(LARGE($AM$6:$AP$24,23),0)</f>
        <v>0</v>
      </c>
      <c r="CC24" s="15" t="n">
        <f aca="false">CC23+CB24</f>
        <v>0</v>
      </c>
    </row>
    <row r="25" customFormat="false" ht="15" hidden="false" customHeight="false" outlineLevel="0" collapsed="false">
      <c r="L25" s="42" t="s">
        <v>221</v>
      </c>
      <c r="M25" s="43" t="str">
        <f aca="false">IF($U$4=0,"",IF($U$66=1,"✓ erfüllt","✗ nicht erfüllt"))</f>
        <v/>
      </c>
      <c r="N25" s="36" t="str">
        <f aca="false">IF($U$4=0,"",$U$65&amp;" Punkte")</f>
        <v/>
      </c>
      <c r="T25" s="15" t="s">
        <v>216</v>
      </c>
      <c r="U25" s="15" t="n">
        <f aca="false">BW6+BW7+BW8+BW9+BW26</f>
        <v>0</v>
      </c>
      <c r="BZ25" s="15" t="n">
        <f aca="false">IFERROR(LARGE($AH$6:$AK$24,24),0)</f>
        <v>0</v>
      </c>
      <c r="CA25" s="15" t="n">
        <f aca="false">CA24+BZ25</f>
        <v>0</v>
      </c>
      <c r="CB25" s="15" t="n">
        <f aca="false">IFERROR(LARGE($AM$6:$AP$24,24),0)</f>
        <v>0</v>
      </c>
      <c r="CC25" s="15" t="n">
        <f aca="false">CC24+CB25</f>
        <v>0</v>
      </c>
    </row>
    <row r="26" customFormat="false" ht="30" hidden="false" customHeight="true" outlineLevel="0" collapsed="false">
      <c r="B26" s="21" t="s">
        <v>486</v>
      </c>
      <c r="C26" s="37"/>
      <c r="I26" s="25"/>
      <c r="J26" s="54" t="s">
        <v>339</v>
      </c>
      <c r="T26" s="15" t="s">
        <v>218</v>
      </c>
      <c r="U26" s="15" t="n">
        <f aca="false">BX6+BX7+BX8+BX9+BX26</f>
        <v>0</v>
      </c>
      <c r="BN26" s="15" t="str">
        <f aca="false">IF(ISNUMBER($I$26),$I$26,"")</f>
        <v/>
      </c>
      <c r="BO26" s="15" t="str">
        <f aca="false">IF(BN26="","",BN26*$U$16)</f>
        <v/>
      </c>
      <c r="BP26" s="15" t="n">
        <f aca="false">IF(BO26="",0,IF(BO26&gt;=5*$U$16-0.000000001,1,0))</f>
        <v>0</v>
      </c>
      <c r="BQ26" s="15" t="n">
        <f aca="false">IF(BO26="",0,IF(BO26&lt;0.000000001,1,0))</f>
        <v>0</v>
      </c>
      <c r="BR26" s="15" t="n">
        <f aca="false">0</f>
        <v>0</v>
      </c>
      <c r="BT26" s="15" t="str">
        <f aca="false">IF(ISNUMBER($I$26),$I$26,"")</f>
        <v/>
      </c>
      <c r="BU26" s="15" t="str">
        <f aca="false">IF(BT26="","",BT26*$U$16)</f>
        <v/>
      </c>
      <c r="BV26" s="15" t="n">
        <f aca="false">IF(BU26="",0,IF(BU26&gt;=5*$U$16-0.000000001,1,0))</f>
        <v>0</v>
      </c>
      <c r="BW26" s="15" t="n">
        <f aca="false">IF(BU26="",0,IF(BU26&lt;0.000000001,1,0))</f>
        <v>0</v>
      </c>
      <c r="BX26" s="15" t="n">
        <f aca="false">0</f>
        <v>0</v>
      </c>
      <c r="BZ26" s="15" t="n">
        <f aca="false">IFERROR(LARGE($AH$6:$AK$24,25),0)</f>
        <v>0</v>
      </c>
      <c r="CA26" s="15" t="n">
        <f aca="false">CA25+BZ26</f>
        <v>0</v>
      </c>
      <c r="CB26" s="15" t="n">
        <f aca="false">IFERROR(LARGE($AM$6:$AP$24,25),0)</f>
        <v>0</v>
      </c>
      <c r="CC26" s="15" t="n">
        <f aca="false">CC25+CB26</f>
        <v>0</v>
      </c>
    </row>
    <row r="27" customFormat="false" ht="15" hidden="false" customHeight="false" outlineLevel="0" collapsed="false">
      <c r="L27" s="44" t="s">
        <v>226</v>
      </c>
      <c r="T27" s="15" t="s">
        <v>220</v>
      </c>
      <c r="U27" s="15" t="n">
        <f aca="false">IF($U$15=1,3,2)</f>
        <v>2</v>
      </c>
      <c r="BZ27" s="15" t="n">
        <f aca="false">IFERROR(LARGE($AH$6:$AK$24,26),0)</f>
        <v>0</v>
      </c>
      <c r="CA27" s="15" t="n">
        <f aca="false">CA26+BZ27</f>
        <v>0</v>
      </c>
      <c r="CB27" s="15" t="n">
        <f aca="false">IFERROR(LARGE($AM$6:$AP$24,26),0)</f>
        <v>0</v>
      </c>
      <c r="CC27" s="15" t="n">
        <f aca="false">CC26+CB27</f>
        <v>0</v>
      </c>
    </row>
    <row r="28" customFormat="false" ht="15" hidden="false" customHeight="false" outlineLevel="0" collapsed="false">
      <c r="B28" s="5" t="s">
        <v>487</v>
      </c>
      <c r="L28" s="8" t="s">
        <v>229</v>
      </c>
      <c r="T28" s="15" t="s">
        <v>222</v>
      </c>
      <c r="U28" s="15" t="n">
        <f aca="false">IF(ISNUMBER($I$6),0,1)+IF(ISNUMBER($I$7),0,1)+IF(ISNUMBER($I$8),0,1)+IF(ISNUMBER($I$9),0,1)</f>
        <v>4</v>
      </c>
      <c r="BZ28" s="15" t="n">
        <f aca="false">IFERROR(LARGE($AH$6:$AK$24,27),0)</f>
        <v>0</v>
      </c>
      <c r="CA28" s="15" t="n">
        <f aca="false">CA27+BZ28</f>
        <v>0</v>
      </c>
      <c r="CB28" s="15" t="n">
        <f aca="false">IFERROR(LARGE($AM$6:$AP$24,27),0)</f>
        <v>0</v>
      </c>
      <c r="CC28" s="15" t="n">
        <f aca="false">CC27+CB28</f>
        <v>0</v>
      </c>
    </row>
    <row r="29" customFormat="false" ht="15" hidden="false" customHeight="false" outlineLevel="0" collapsed="false">
      <c r="B29" s="12" t="s">
        <v>488</v>
      </c>
      <c r="L29" s="45" t="s">
        <v>232</v>
      </c>
      <c r="T29" s="15" t="s">
        <v>224</v>
      </c>
      <c r="U29" s="15" t="n">
        <f aca="false">IF($U$17&gt;=100,1,0)</f>
        <v>0</v>
      </c>
      <c r="BZ29" s="15" t="n">
        <f aca="false">IFERROR(LARGE($AH$6:$AK$24,28),0)</f>
        <v>0</v>
      </c>
      <c r="CA29" s="15" t="n">
        <f aca="false">CA28+BZ29</f>
        <v>0</v>
      </c>
      <c r="CB29" s="15" t="n">
        <f aca="false">IFERROR(LARGE($AM$6:$AP$24,28),0)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">
        <v>392</v>
      </c>
      <c r="L30" s="46" t="s">
        <v>235</v>
      </c>
      <c r="T30" s="15" t="s">
        <v>227</v>
      </c>
      <c r="U30" s="15" t="n">
        <f aca="false">IF(AND($U$18&gt;=$U$27,$U$19&gt;=0),1,0)</f>
        <v>0</v>
      </c>
      <c r="BZ30" s="15" t="n">
        <f aca="false">IFERROR(LARGE($AH$6:$AK$24,29),0)</f>
        <v>0</v>
      </c>
      <c r="CA30" s="15" t="n">
        <f aca="false">CA29+BZ30</f>
        <v>0</v>
      </c>
      <c r="CB30" s="15" t="n">
        <f aca="false">IFERROR(LARGE($AM$6:$AP$24,29),0)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489</v>
      </c>
      <c r="L31" s="47" t="s">
        <v>238</v>
      </c>
      <c r="T31" s="15" t="s">
        <v>233</v>
      </c>
      <c r="U31" s="15" t="n">
        <f aca="false">$U$29*$U$30</f>
        <v>0</v>
      </c>
      <c r="BZ31" s="15" t="n">
        <f aca="false">IFERROR(LARGE($AH$6:$AK$24,30),0)</f>
        <v>0</v>
      </c>
      <c r="CA31" s="15" t="n">
        <f aca="false">CA30+BZ31</f>
        <v>0</v>
      </c>
      <c r="CB31" s="15" t="n">
        <f aca="false">IFERROR(LARGE($AM$6:$AP$24,30),0)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490</v>
      </c>
      <c r="T32" s="15" t="s">
        <v>236</v>
      </c>
      <c r="U32" s="15" t="n">
        <f aca="false">IF($U$22&gt;=100,1,0)</f>
        <v>1</v>
      </c>
      <c r="BZ32" s="15" t="n">
        <f aca="false">IFERROR(LARGE($AH$6:$AK$24,31),0)</f>
        <v>0</v>
      </c>
      <c r="CA32" s="15" t="n">
        <f aca="false">CA31+BZ32</f>
        <v>0</v>
      </c>
      <c r="CB32" s="15" t="n">
        <f aca="false">IFERROR(LARGE($AM$6:$AP$24,31),0)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491</v>
      </c>
      <c r="L33" s="48" t="s">
        <v>242</v>
      </c>
      <c r="T33" s="15" t="s">
        <v>239</v>
      </c>
      <c r="U33" s="15" t="n">
        <f aca="false">IF(AND($U$23&gt;=$U$27,$U$24&gt;=0),1,0)</f>
        <v>1</v>
      </c>
      <c r="BZ33" s="15" t="n">
        <f aca="false">IFERROR(LARGE($AH$6:$AK$24,32),0)</f>
        <v>0</v>
      </c>
      <c r="CA33" s="15" t="n">
        <f aca="false">CA32+BZ33</f>
        <v>0</v>
      </c>
      <c r="CB33" s="15" t="n">
        <f aca="false">IFERROR(LARGE($AM$6:$AP$24,32),0)</f>
        <v>0</v>
      </c>
      <c r="CC33" s="15" t="n">
        <f aca="false">CC32+CB33</f>
        <v>0</v>
      </c>
    </row>
    <row r="34" customFormat="false" ht="15" hidden="false" customHeight="false" outlineLevel="0" collapsed="false">
      <c r="L34" s="48" t="s">
        <v>245</v>
      </c>
      <c r="T34" s="15" t="s">
        <v>243</v>
      </c>
      <c r="U34" s="15" t="n">
        <f aca="false">$U$32*$U$33</f>
        <v>1</v>
      </c>
      <c r="BZ34" s="15" t="n">
        <f aca="false">IFERROR(LARGE($AH$6:$AK$24,33),0)</f>
        <v>0</v>
      </c>
      <c r="CA34" s="15" t="n">
        <f aca="false">CA33+BZ34</f>
        <v>0</v>
      </c>
      <c r="CB34" s="15" t="n">
        <f aca="false">IFERROR(LARGE($AM$6:$AP$24,33),0)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8" t="s">
        <v>492</v>
      </c>
      <c r="T35" s="15" t="s">
        <v>246</v>
      </c>
      <c r="U35" s="15" t="n">
        <f aca="false">INDEX($DG$3:$DG$3,$U$13)+$U$28</f>
        <v>40</v>
      </c>
      <c r="BZ35" s="15" t="n">
        <f aca="false">IFERROR(LARGE($AH$6:$AK$24,34),0)</f>
        <v>0</v>
      </c>
      <c r="CA35" s="15" t="n">
        <f aca="false">CA34+BZ35</f>
        <v>0</v>
      </c>
      <c r="CB35" s="15" t="n">
        <f aca="false">IFERROR(LARGE($AM$6:$AP$24,34),0)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49" t="s">
        <v>493</v>
      </c>
      <c r="T36" s="15" t="s">
        <v>247</v>
      </c>
      <c r="U36" s="15" t="n">
        <f aca="false">IF($U$35=0,1,0)</f>
        <v>0</v>
      </c>
      <c r="BZ36" s="15" t="n">
        <f aca="false">IFERROR(LARGE($AH$6:$AK$24,35),0)</f>
        <v>0</v>
      </c>
      <c r="CA36" s="15" t="n">
        <f aca="false">CA35+BZ36</f>
        <v>0</v>
      </c>
      <c r="CB36" s="15" t="n">
        <f aca="false">IFERROR(LARGE($AM$6:$AP$24,35),0)</f>
        <v>0</v>
      </c>
      <c r="CC36" s="15" t="n">
        <f aca="false">CC35+CB36</f>
        <v>0</v>
      </c>
    </row>
    <row r="37" customFormat="false" ht="15" hidden="false" customHeight="false" outlineLevel="0" collapsed="false">
      <c r="T37" s="15" t="s">
        <v>249</v>
      </c>
      <c r="U37" s="15" t="n">
        <f aca="false">IF($U$36=1,INDEX($CQ$3:$CQ$3,$U$13),INDEX($CQ$23:$CQ$23,$U$14))</f>
        <v>280</v>
      </c>
      <c r="BZ37" s="15" t="n">
        <f aca="false">IFERROR(LARGE($AH$6:$AK$24,36),0)</f>
        <v>0</v>
      </c>
      <c r="CA37" s="15" t="n">
        <f aca="false">CA36+BZ37</f>
        <v>0</v>
      </c>
      <c r="CB37" s="15" t="n">
        <f aca="false">IFERROR(LARGE($AM$6:$AP$24,36),0)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0" t="s">
        <v>494</v>
      </c>
      <c r="T38" s="15" t="s">
        <v>251</v>
      </c>
      <c r="U38" s="15" t="n">
        <f aca="false">IF($U$36=1,INDEX($CK$3:$CK$3,$U$13),INDEX($CK$23:$CK$23,$U$14))</f>
        <v>36</v>
      </c>
      <c r="BZ38" s="15" t="n">
        <f aca="false">IFERROR(LARGE($AH$6:$AK$24,37),0)</f>
        <v>0</v>
      </c>
      <c r="CA38" s="15" t="n">
        <f aca="false">CA37+BZ38</f>
        <v>0</v>
      </c>
      <c r="CB38" s="15" t="n">
        <f aca="false">IFERROR(LARGE($AM$6:$AP$24,37),0)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1" t="s">
        <v>250</v>
      </c>
      <c r="T39" s="15" t="s">
        <v>252</v>
      </c>
      <c r="U39" s="15" t="n">
        <f aca="false">IF($U$36=1,INDEX($CR$3:$CR$3,$U$13),INDEX($CR$23:$CR$23,$U$14))</f>
        <v>0</v>
      </c>
      <c r="BZ39" s="15" t="n">
        <f aca="false">IFERROR(LARGE($AH$6:$AK$24,38),0)</f>
        <v>0</v>
      </c>
      <c r="CA39" s="15" t="n">
        <f aca="false">CA38+BZ39</f>
        <v>0</v>
      </c>
      <c r="CB39" s="15" t="n">
        <f aca="false">IFERROR(LARGE($AM$6:$AP$24,38),0)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253</v>
      </c>
      <c r="U40" s="15" t="n">
        <f aca="false">IF($U$36=1,INDEX($CS$3:$CS$3,$U$13),INDEX($CS$23:$CS$23,$U$14))</f>
        <v>7</v>
      </c>
      <c r="BZ40" s="15" t="n">
        <f aca="false">IFERROR(LARGE($AH$6:$AK$24,39),0)</f>
        <v>0</v>
      </c>
      <c r="CA40" s="15" t="n">
        <f aca="false">CA39+BZ40</f>
        <v>0</v>
      </c>
      <c r="CB40" s="15" t="n">
        <f aca="false">IFERROR(LARGE($AM$6:$AP$24,39),0)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254</v>
      </c>
      <c r="U41" s="15" t="n">
        <f aca="false">IF($U$36=1,INDEX($CT$3:$CT$3,$U$13),INDEX($CT$23:$CT$23,$U$14))</f>
        <v>0</v>
      </c>
      <c r="BZ41" s="15" t="n">
        <f aca="false">IFERROR(LARGE($AH$6:$AK$24,40),0)</f>
        <v>0</v>
      </c>
      <c r="CA41" s="15" t="n">
        <f aca="false">CA40+BZ41</f>
        <v>0</v>
      </c>
      <c r="CB41" s="15" t="n">
        <f aca="false">IFERROR(LARGE($AM$6:$AP$24,40),0)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255</v>
      </c>
      <c r="U42" s="15" t="n">
        <f aca="false">IF($U$36=1,INDEX($CL$3:$CL$3,$U$13),INDEX($CL$23:$CL$23,$U$14))</f>
        <v>112</v>
      </c>
      <c r="BZ42" s="15" t="n">
        <f aca="false">IFERROR(LARGE($AH$6:$AK$24,41),0)</f>
        <v>0</v>
      </c>
      <c r="CA42" s="15" t="n">
        <f aca="false">CA41+BZ42</f>
        <v>0</v>
      </c>
      <c r="CB42" s="15" t="n">
        <f aca="false">IFERROR(LARGE($AM$6:$AP$24,41),0)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256</v>
      </c>
      <c r="U43" s="15" t="n">
        <f aca="false">IF($U$36=1,INDEX($CU$3:$CU$3,$U$13),INDEX($CU$23:$CU$23,$U$14))</f>
        <v>196</v>
      </c>
      <c r="BZ43" s="15" t="n">
        <f aca="false">IFERROR(LARGE($AH$6:$AK$24,42),0)</f>
        <v>0</v>
      </c>
      <c r="CA43" s="15" t="n">
        <f aca="false">CA42+BZ43</f>
        <v>0</v>
      </c>
      <c r="CB43" s="15" t="n">
        <f aca="false">IFERROR(LARGE($AM$6:$AP$24,42),0)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257</v>
      </c>
      <c r="U44" s="15" t="n">
        <f aca="false">IF($U$36=1,INDEX($CP$3:$CP$3,$U$13),INDEX($CP$23:$CP$23,$U$14))</f>
        <v>44</v>
      </c>
      <c r="BZ44" s="15" t="n">
        <f aca="false">IFERROR(LARGE($AH$6:$AK$24,43),0)</f>
        <v>0</v>
      </c>
      <c r="CA44" s="15" t="n">
        <f aca="false">CA43+BZ44</f>
        <v>0</v>
      </c>
      <c r="CB44" s="15" t="n">
        <f aca="false">IFERROR(LARGE($AM$6:$AP$24,43),0)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258</v>
      </c>
      <c r="U45" s="15" t="n">
        <f aca="false">IF($U$36=1,INDEX($CO$3:$CO$3,$U$13),INDEX($CO$23:$CO$23,$U$14))</f>
        <v>308</v>
      </c>
      <c r="BZ45" s="15" t="n">
        <f aca="false">IFERROR(LARGE($AH$6:$AK$24,44),0)</f>
        <v>0</v>
      </c>
      <c r="CA45" s="15" t="n">
        <f aca="false">CA44+BZ45</f>
        <v>0</v>
      </c>
      <c r="CB45" s="15" t="n">
        <f aca="false">IFERROR(LARGE($AM$6:$AP$24,44),0)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259</v>
      </c>
      <c r="U46" s="15" t="n">
        <f aca="false">IF($U$36=1,INDEX($CH$3:$CH$3,$U$13),INDEX($CH$23:$CH$23,$U$14))</f>
        <v>0</v>
      </c>
      <c r="BZ46" s="15" t="n">
        <f aca="false">IFERROR(LARGE($AH$6:$AK$24,45),0)</f>
        <v>0</v>
      </c>
      <c r="CA46" s="15" t="n">
        <f aca="false">CA45+BZ46</f>
        <v>0</v>
      </c>
      <c r="CB46" s="15" t="n">
        <f aca="false">IFERROR(LARGE($AM$6:$AP$24,45),0)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260</v>
      </c>
      <c r="U47" s="15" t="n">
        <f aca="false">IF($U$36=1,INDEX($DF$3:$DF$3,$U$13),INDEX($DF$23:$DF$23,$U$14))</f>
        <v>1</v>
      </c>
      <c r="BZ47" s="15" t="n">
        <f aca="false">IFERROR(LARGE($AH$6:$AK$24,46),0)</f>
        <v>0</v>
      </c>
      <c r="CA47" s="15" t="n">
        <f aca="false">CA46+BZ47</f>
        <v>0</v>
      </c>
      <c r="CB47" s="15" t="n">
        <f aca="false">IFERROR(LARGE($AM$6:$AP$24,46),0)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261</v>
      </c>
      <c r="U48" s="15" t="n">
        <f aca="false">IF($U$36=1,INDEX($CV$3:$CV$3,$U$13),INDEX($CV$23:$CV$23,$U$14))</f>
        <v>1</v>
      </c>
      <c r="BZ48" s="15" t="n">
        <f aca="false">IFERROR(LARGE($AH$6:$AK$24,47),0)</f>
        <v>0</v>
      </c>
      <c r="CA48" s="15" t="n">
        <f aca="false">CA47+BZ48</f>
        <v>0</v>
      </c>
      <c r="CB48" s="15" t="n">
        <f aca="false">IFERROR(LARGE($AM$6:$AP$24,47),0)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262</v>
      </c>
      <c r="U49" s="15" t="n">
        <f aca="false">IF($U$36=1,INDEX($CW$3:$CW$3,$U$13),INDEX($CW$23:$CW$23,$U$14))</f>
        <v>1</v>
      </c>
      <c r="BZ49" s="15" t="n">
        <f aca="false">IFERROR(LARGE($AH$6:$AK$24,48),0)</f>
        <v>0</v>
      </c>
      <c r="CA49" s="15" t="n">
        <f aca="false">CA48+BZ49</f>
        <v>0</v>
      </c>
      <c r="CB49" s="15" t="n">
        <f aca="false">IFERROR(LARGE($AM$6:$AP$24,48),0)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263</v>
      </c>
      <c r="U50" s="15" t="n">
        <f aca="false">IF($U$36=1,INDEX($CX$3:$CX$3,$U$13),INDEX($CX$23:$CX$23,$U$14))</f>
        <v>1</v>
      </c>
      <c r="BZ50" s="15" t="n">
        <f aca="false">IFERROR(LARGE($AH$6:$AK$24,49),0)</f>
        <v>0</v>
      </c>
      <c r="CA50" s="15" t="n">
        <f aca="false">CA49+BZ50</f>
        <v>0</v>
      </c>
      <c r="CB50" s="15" t="n">
        <f aca="false">IFERROR(LARGE($AM$6:$AP$24,49),0)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264</v>
      </c>
      <c r="U51" s="15" t="n">
        <f aca="false">IF($U$36=1,INDEX($CY$3:$CY$3,$U$13),INDEX($CY$23:$CY$23,$U$14))</f>
        <v>1</v>
      </c>
      <c r="BZ51" s="15" t="n">
        <f aca="false">IFERROR(LARGE($AH$6:$AK$24,50),0)</f>
        <v>0</v>
      </c>
      <c r="CA51" s="15" t="n">
        <f aca="false">CA50+BZ51</f>
        <v>0</v>
      </c>
      <c r="CB51" s="15" t="n">
        <f aca="false">IFERROR(LARGE($AM$6:$AP$24,50),0)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265</v>
      </c>
      <c r="U52" s="15" t="n">
        <f aca="false">IF($U$36=1,INDEX($CZ$3:$CZ$3,$U$13),INDEX($CZ$23:$CZ$23,$U$14))</f>
        <v>1</v>
      </c>
      <c r="BZ52" s="15" t="n">
        <f aca="false">IFERROR(LARGE($AH$6:$AK$24,51),0)</f>
        <v>0</v>
      </c>
      <c r="CA52" s="15" t="n">
        <f aca="false">CA51+BZ52</f>
        <v>0</v>
      </c>
      <c r="CB52" s="15" t="n">
        <f aca="false">IFERROR(LARGE($AM$6:$AP$24,51),0)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266</v>
      </c>
      <c r="U53" s="15" t="n">
        <f aca="false">IF($U$36=1,INDEX($DA$3:$DA$3,$U$13),INDEX($DA$23:$DA$23,$U$14))</f>
        <v>1</v>
      </c>
      <c r="BZ53" s="15" t="n">
        <f aca="false">IFERROR(LARGE($AH$6:$AK$24,52),0)</f>
        <v>0</v>
      </c>
      <c r="CA53" s="15" t="n">
        <f aca="false">CA52+BZ53</f>
        <v>0</v>
      </c>
      <c r="CB53" s="15" t="n">
        <f aca="false">IFERROR(LARGE($AM$6:$AP$24,52),0)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267</v>
      </c>
      <c r="U54" s="15" t="n">
        <f aca="false">IF($U$36=1,INDEX($DB$3:$DB$3,$U$13),INDEX($DB$23:$DB$23,$U$14))</f>
        <v>1</v>
      </c>
      <c r="BZ54" s="15" t="n">
        <f aca="false">IFERROR(LARGE($AH$6:$AK$24,53),0)</f>
        <v>0</v>
      </c>
      <c r="CA54" s="15" t="n">
        <f aca="false">CA53+BZ54</f>
        <v>0</v>
      </c>
      <c r="CB54" s="15" t="n">
        <f aca="false">IFERROR(LARGE($AM$6:$AP$24,53),0)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268</v>
      </c>
      <c r="U55" s="15" t="n">
        <f aca="false">IF($U$36=1,INDEX($DC$3:$DC$3,$U$13),INDEX($DC$23:$DC$23,$U$14))</f>
        <v>1</v>
      </c>
      <c r="BZ55" s="15" t="n">
        <f aca="false">IFERROR(LARGE($AH$6:$AK$24,54),0)</f>
        <v>0</v>
      </c>
      <c r="CA55" s="15" t="n">
        <f aca="false">CA54+BZ55</f>
        <v>0</v>
      </c>
      <c r="CB55" s="15" t="n">
        <f aca="false">IFERROR(LARGE($AM$6:$AP$24,54),0)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269</v>
      </c>
      <c r="U56" s="15" t="n">
        <f aca="false">IF($U$36=1,INDEX($DD$3:$DD$3,$U$13),INDEX($DD$23:$DD$23,$U$14))</f>
        <v>1</v>
      </c>
      <c r="BZ56" s="15" t="n">
        <f aca="false">IFERROR(LARGE($AH$6:$AK$24,55),0)</f>
        <v>0</v>
      </c>
      <c r="CA56" s="15" t="n">
        <f aca="false">CA55+BZ56</f>
        <v>0</v>
      </c>
      <c r="CB56" s="15" t="n">
        <f aca="false">IFERROR(LARGE($AM$6:$AP$24,55),0)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270</v>
      </c>
      <c r="U57" s="15" t="n">
        <f aca="false">IF($U$36=1,INDEX($DE$3:$DE$3,$U$13),INDEX($DE$23:$DE$23,$U$14))</f>
        <v>1</v>
      </c>
      <c r="BZ57" s="15" t="n">
        <f aca="false">IFERROR(LARGE($AH$6:$AK$24,56),0)</f>
        <v>0</v>
      </c>
      <c r="CA57" s="15" t="n">
        <f aca="false">CA56+BZ57</f>
        <v>0</v>
      </c>
      <c r="CB57" s="15" t="n">
        <f aca="false">IFERROR(LARGE($AM$6:$AP$24,56),0)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271</v>
      </c>
      <c r="U58" s="15" t="n">
        <f aca="false">IF($U$36=1,$U$13,$U$14)</f>
        <v>1</v>
      </c>
    </row>
    <row r="59" customFormat="false" ht="15" hidden="false" customHeight="false" outlineLevel="0" collapsed="false">
      <c r="T59" s="15" t="s">
        <v>272</v>
      </c>
      <c r="U59" s="15" t="n">
        <f aca="false">IF($U$36=1,$U$9,$V$9)</f>
        <v>0</v>
      </c>
    </row>
    <row r="60" customFormat="false" ht="15" hidden="false" customHeight="false" outlineLevel="0" collapsed="false">
      <c r="T60" s="15" t="s">
        <v>273</v>
      </c>
      <c r="U60" s="15" t="n">
        <f aca="false">IF($U$36=1,$U$17,$U$22)</f>
        <v>140</v>
      </c>
    </row>
    <row r="61" customFormat="false" ht="15" hidden="false" customHeight="false" outlineLevel="0" collapsed="false">
      <c r="T61" s="15" t="s">
        <v>274</v>
      </c>
      <c r="U61" s="15" t="n">
        <f aca="false">IF($U$36=1,$U$18,$U$23)</f>
        <v>4</v>
      </c>
    </row>
    <row r="62" customFormat="false" ht="15" hidden="false" customHeight="false" outlineLevel="0" collapsed="false">
      <c r="T62" s="15" t="s">
        <v>275</v>
      </c>
      <c r="U62" s="15" t="n">
        <f aca="false">IF($U$36=1,$U$29,$U$32)</f>
        <v>1</v>
      </c>
    </row>
    <row r="63" customFormat="false" ht="15" hidden="false" customHeight="false" outlineLevel="0" collapsed="false">
      <c r="T63" s="15" t="s">
        <v>276</v>
      </c>
      <c r="U63" s="15" t="n">
        <f aca="false">IF($U$36=1,$U$30,$U$33)</f>
        <v>1</v>
      </c>
    </row>
    <row r="64" customFormat="false" ht="15" hidden="false" customHeight="false" outlineLevel="0" collapsed="false">
      <c r="T64" s="15" t="s">
        <v>278</v>
      </c>
      <c r="U64" s="15" t="n">
        <f aca="false">IF($U$36=1,$U$31,$U$34)</f>
        <v>1</v>
      </c>
    </row>
    <row r="65" customFormat="false" ht="15" hidden="false" customHeight="false" outlineLevel="0" collapsed="false">
      <c r="T65" s="15" t="s">
        <v>188</v>
      </c>
      <c r="U65" s="15" t="n">
        <f aca="false">$U$37+$U$60</f>
        <v>420</v>
      </c>
    </row>
    <row r="66" customFormat="false" ht="15" hidden="false" customHeight="false" outlineLevel="0" collapsed="false">
      <c r="T66" s="15" t="s">
        <v>279</v>
      </c>
      <c r="U66" s="15" t="n">
        <f aca="false">IF($U$65&gt;=300,1,0)</f>
        <v>1</v>
      </c>
    </row>
    <row r="67" customFormat="false" ht="15" hidden="false" customHeight="false" outlineLevel="0" collapsed="false">
      <c r="T67" s="15" t="s">
        <v>280</v>
      </c>
      <c r="U67" s="15" t="n">
        <f aca="false">IF($U$47*$U$64*$U$66=1,1,0)</f>
        <v>1</v>
      </c>
    </row>
    <row r="68" customFormat="false" ht="15" hidden="false" customHeight="false" outlineLevel="0" collapsed="false">
      <c r="T68" s="15" t="s">
        <v>281</v>
      </c>
      <c r="U68" s="15" t="n">
        <f aca="false">IF($U$65&lt;300,"",MAX(10,MIN(40,INT((1020-$U$65)/18))))</f>
        <v>33</v>
      </c>
    </row>
    <row r="69" customFormat="false" ht="15" hidden="false" customHeight="false" outlineLevel="0" collapsed="false">
      <c r="T69" s="15" t="s">
        <v>282</v>
      </c>
      <c r="U69" s="15" t="n">
        <f aca="false">IF($U$68="",MAX(0,300-$U$65),IF($U$68&gt;10,1021-18*$U$68-$U$65,""))</f>
        <v>7</v>
      </c>
    </row>
    <row r="70" customFormat="false" ht="15" hidden="false" customHeight="false" outlineLevel="0" collapsed="false">
      <c r="T70" s="0" t="s">
        <v>283</v>
      </c>
      <c r="U70" s="0" t="n">
        <f aca="false">IF($U$68="","",$U$65-IF($U$68&gt;=40,300,1020-18*($U$68+1)+1))</f>
        <v>11</v>
      </c>
    </row>
  </sheetData>
  <sheetProtection sheet="true" formatCells="false" formatColumns="false" formatRows="false"/>
  <mergeCells count="1">
    <mergeCell ref="M6:N6"/>
  </mergeCells>
  <conditionalFormatting sqref="E6:H24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9">
    <cfRule type="expression" priority="5" aboveAverage="0" equalAverage="0" bottom="0" percent="0" rank="0" text="" dxfId="3">
      <formula>AND(ISNUMBER(I6),I6&lt;5)</formula>
    </cfRule>
  </conditionalFormatting>
  <conditionalFormatting sqref="M19:M25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2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8 E9:I9 E11:H24 I26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1:D24" type="list">
      <formula1>"x"</formula1>
      <formula2>0</formula2>
    </dataValidation>
  </dataValidations>
  <hyperlinks>
    <hyperlink ref="B36" r:id="rId2" display="https://www.gesetze-rechtsprechung.sh.juris.de/perma?d=jlr-NNLSH00002A8C"/>
    <hyperlink ref="B38" r:id="rId3" display="Online-Rechner Schleswig-Holstein mit Statistik und PDF-Download: https://www.abi-rechner.com/bundeslander/schleswig-holstein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Schleswig-Holstein · abi-rechner.com · Stand September 2026</oddFooter>
  </headerFooter>
  <legacy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495</v>
      </c>
      <c r="T1" s="15" t="s">
        <v>72</v>
      </c>
      <c r="BZ1" s="15" t="s">
        <v>73</v>
      </c>
      <c r="CA1" s="15" t="s">
        <v>74</v>
      </c>
      <c r="CB1" s="15" t="s">
        <v>75</v>
      </c>
      <c r="CC1" s="15" t="s">
        <v>76</v>
      </c>
    </row>
    <row r="2" customFormat="false" ht="15" hidden="false" customHeight="false" outlineLevel="0" collapsed="false">
      <c r="B2" s="2" t="s">
        <v>496</v>
      </c>
      <c r="T2" s="15" t="s">
        <v>78</v>
      </c>
      <c r="U2" s="15" t="n">
        <f aca="false">IFERROR(AVERAGE($E$6:$H$25),7)</f>
        <v>7</v>
      </c>
      <c r="BZ2" s="15" t="n">
        <f aca="false">IFERROR(LARGE($AH$6:$AK$25,1),0)</f>
        <v>0</v>
      </c>
      <c r="CA2" s="15" t="n">
        <f aca="false">BZ2</f>
        <v>0</v>
      </c>
      <c r="CB2" s="15" t="n">
        <f aca="false">IFERROR(LARGE($AM$6:$AP$25,1),0)</f>
        <v>0</v>
      </c>
      <c r="CC2" s="15" t="n">
        <f aca="false">CB2</f>
        <v>0</v>
      </c>
      <c r="CE2" s="15" t="s">
        <v>79</v>
      </c>
      <c r="CF2" s="15" t="s">
        <v>80</v>
      </c>
      <c r="CG2" s="15" t="s">
        <v>81</v>
      </c>
      <c r="CH2" s="15" t="s">
        <v>82</v>
      </c>
      <c r="CI2" s="15" t="s">
        <v>83</v>
      </c>
      <c r="CJ2" s="15" t="s">
        <v>84</v>
      </c>
      <c r="CK2" s="15" t="s">
        <v>85</v>
      </c>
      <c r="CL2" s="15" t="s">
        <v>86</v>
      </c>
      <c r="CM2" s="15" t="s">
        <v>87</v>
      </c>
      <c r="CN2" s="15" t="s">
        <v>88</v>
      </c>
      <c r="CO2" s="15" t="s">
        <v>89</v>
      </c>
      <c r="CP2" s="15" t="s">
        <v>90</v>
      </c>
      <c r="CQ2" s="15" t="s">
        <v>91</v>
      </c>
      <c r="CR2" s="15" t="s">
        <v>92</v>
      </c>
      <c r="CS2" s="15" t="s">
        <v>93</v>
      </c>
      <c r="CT2" s="15" t="s">
        <v>94</v>
      </c>
      <c r="CU2" s="15" t="s">
        <v>95</v>
      </c>
      <c r="CV2" s="15" t="s">
        <v>96</v>
      </c>
      <c r="CW2" s="15" t="s">
        <v>97</v>
      </c>
      <c r="CX2" s="15" t="s">
        <v>98</v>
      </c>
      <c r="CY2" s="15" t="s">
        <v>99</v>
      </c>
      <c r="CZ2" s="15" t="s">
        <v>100</v>
      </c>
      <c r="DA2" s="15" t="s">
        <v>101</v>
      </c>
      <c r="DB2" s="15" t="s">
        <v>102</v>
      </c>
      <c r="DC2" s="15" t="s">
        <v>103</v>
      </c>
      <c r="DD2" s="15" t="s">
        <v>104</v>
      </c>
      <c r="DE2" s="15" t="s">
        <v>105</v>
      </c>
      <c r="DF2" s="15" t="s">
        <v>106</v>
      </c>
      <c r="DG2" s="15" t="s">
        <v>107</v>
      </c>
      <c r="DH2" s="15" t="s">
        <v>108</v>
      </c>
    </row>
    <row r="3" customFormat="false" ht="15" hidden="false" customHeight="false" outlineLevel="0" collapsed="false">
      <c r="B3" s="16" t="s">
        <v>109</v>
      </c>
      <c r="T3" s="15" t="s">
        <v>110</v>
      </c>
      <c r="U3" s="15" t="n">
        <f aca="false">IFERROR(AVERAGE($I$6:$I$10),$U$2)</f>
        <v>7</v>
      </c>
      <c r="BZ3" s="15" t="n">
        <f aca="false">IFERROR(LARGE($AH$6:$AK$25,2),0)</f>
        <v>0</v>
      </c>
      <c r="CA3" s="15" t="n">
        <f aca="false">CA2+BZ3</f>
        <v>0</v>
      </c>
      <c r="CB3" s="15" t="n">
        <f aca="false">IFERROR(LARGE($AM$6:$AP$25,2),0)</f>
        <v>0</v>
      </c>
      <c r="CC3" s="15" t="n">
        <f aca="false">CC2+CB3</f>
        <v>0</v>
      </c>
      <c r="CE3" s="15" t="n">
        <f aca="false">36</f>
        <v>36</v>
      </c>
      <c r="CF3" s="15" t="n">
        <f aca="false">CE3-$U$5-$U$6-0</f>
        <v>16</v>
      </c>
      <c r="CG3" s="15" t="n">
        <f aca="false">MAX(0,CF3)</f>
        <v>16</v>
      </c>
      <c r="CH3" s="15" t="n">
        <f aca="false">MIN(CG3,$U$7)</f>
        <v>0</v>
      </c>
      <c r="CI3" s="15" t="n">
        <f aca="false">CG3-CH3</f>
        <v>16</v>
      </c>
      <c r="CJ3" s="15" t="n">
        <f aca="false">0</f>
        <v>0</v>
      </c>
      <c r="CK3" s="15" t="n">
        <f aca="false">$U$5+CH3+CJ3</f>
        <v>0</v>
      </c>
      <c r="CL3" s="15" t="n">
        <f aca="false">1*AW6+1*AX6+1*AW7+1*AX7+1*AW8+1*AX8</f>
        <v>0</v>
      </c>
      <c r="CM3" s="15" t="n">
        <f aca="false">1*AY6+1*AZ6+1*AY7+1*AZ7+1*AY8+1*AZ8+1*AY9+1*AZ9+1*AY10+1*AZ10+SUM($AA$12:$AA$25)</f>
        <v>0</v>
      </c>
      <c r="CN3" s="15" t="n">
        <f aca="false">IF(CH3=0,0,INDEX($CA$2:$CA$57,CH3))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IF(CP3&gt;0,MIN(600,INT((CO3/CP3*40)+0.5+0.000000001)),0)</f>
        <v>0</v>
      </c>
      <c r="CR3" s="15" t="n">
        <f aca="false">$U$9+CT3</f>
        <v>0</v>
      </c>
      <c r="CS3" s="15" t="n">
        <f aca="false">7</f>
        <v>7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1</f>
        <v>1</v>
      </c>
      <c r="CY3" s="15" t="n">
        <f aca="false">1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36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111</v>
      </c>
      <c r="U4" s="15" t="n">
        <f aca="false">IF(COUNT($E$6:$H$25,$I$6:$I$10)&gt;0,1,0)</f>
        <v>0</v>
      </c>
      <c r="BZ4" s="15" t="n">
        <f aca="false">IFERROR(LARGE($AH$6:$AK$25,3),0)</f>
        <v>0</v>
      </c>
      <c r="CA4" s="15" t="n">
        <f aca="false">CA3+BZ4</f>
        <v>0</v>
      </c>
      <c r="CB4" s="15" t="n">
        <f aca="false">IFERROR(LARGE($AM$6:$AP$25,3),0)</f>
        <v>0</v>
      </c>
      <c r="CC4" s="15" t="n">
        <f aca="false">CC3+CB4</f>
        <v>0</v>
      </c>
    </row>
    <row r="5" customFormat="false" ht="30" hidden="false" customHeight="true" outlineLevel="0" collapsed="false">
      <c r="B5" s="17" t="s">
        <v>9</v>
      </c>
      <c r="C5" s="17" t="s">
        <v>112</v>
      </c>
      <c r="D5" s="18"/>
      <c r="E5" s="18" t="s">
        <v>113</v>
      </c>
      <c r="F5" s="18" t="s">
        <v>114</v>
      </c>
      <c r="G5" s="18" t="s">
        <v>115</v>
      </c>
      <c r="H5" s="18" t="s">
        <v>116</v>
      </c>
      <c r="I5" s="18" t="s">
        <v>11</v>
      </c>
      <c r="J5" s="18" t="s">
        <v>117</v>
      </c>
      <c r="L5" s="19" t="s">
        <v>118</v>
      </c>
      <c r="M5" s="20"/>
      <c r="N5" s="20"/>
      <c r="T5" s="15" t="s">
        <v>119</v>
      </c>
      <c r="U5" s="15" t="n">
        <f aca="false">AY6+AY7+AY8+AY9+AY10+AZ6+AZ7+AZ8+AZ9+AZ10+SUM($AA$12:$AA$25)</f>
        <v>0</v>
      </c>
      <c r="V5" s="15" t="n">
        <f aca="false">BG6+BG7+BG8+BG9+BG10+BH6+BH7+BH8+BH9+BH10+SUM($AE$12:$AE$25)</f>
        <v>20</v>
      </c>
      <c r="AH5" s="15" t="s">
        <v>120</v>
      </c>
      <c r="AM5" s="15" t="s">
        <v>121</v>
      </c>
      <c r="AR5" s="15" t="s">
        <v>122</v>
      </c>
      <c r="AW5" s="15" t="s">
        <v>123</v>
      </c>
      <c r="AX5" s="15" t="s">
        <v>124</v>
      </c>
      <c r="AY5" s="15" t="s">
        <v>125</v>
      </c>
      <c r="AZ5" s="15" t="s">
        <v>126</v>
      </c>
      <c r="BA5" s="15" t="s">
        <v>127</v>
      </c>
      <c r="BB5" s="15" t="s">
        <v>128</v>
      </c>
      <c r="BC5" s="15" t="s">
        <v>129</v>
      </c>
      <c r="BD5" s="15" t="s">
        <v>130</v>
      </c>
      <c r="BE5" s="15" t="s">
        <v>131</v>
      </c>
      <c r="BF5" s="15" t="s">
        <v>132</v>
      </c>
      <c r="BG5" s="15" t="s">
        <v>133</v>
      </c>
      <c r="BH5" s="15" t="s">
        <v>134</v>
      </c>
      <c r="BI5" s="15" t="s">
        <v>135</v>
      </c>
      <c r="BJ5" s="15" t="s">
        <v>136</v>
      </c>
      <c r="BK5" s="15" t="s">
        <v>137</v>
      </c>
      <c r="BL5" s="15" t="s">
        <v>138</v>
      </c>
      <c r="BN5" s="15" t="s">
        <v>139</v>
      </c>
      <c r="BO5" s="15" t="s">
        <v>140</v>
      </c>
      <c r="BP5" s="15" t="s">
        <v>141</v>
      </c>
      <c r="BQ5" s="15" t="s">
        <v>128</v>
      </c>
      <c r="BR5" s="15" t="s">
        <v>142</v>
      </c>
      <c r="BT5" s="15" t="s">
        <v>143</v>
      </c>
      <c r="BU5" s="15" t="s">
        <v>144</v>
      </c>
      <c r="BV5" s="15" t="s">
        <v>145</v>
      </c>
      <c r="BW5" s="15" t="s">
        <v>136</v>
      </c>
      <c r="BX5" s="15" t="s">
        <v>146</v>
      </c>
      <c r="BZ5" s="15" t="n">
        <f aca="false">IFERROR(LARGE($AH$6:$AK$25,4),0)</f>
        <v>0</v>
      </c>
      <c r="CA5" s="15" t="n">
        <f aca="false">CA4+BZ5</f>
        <v>0</v>
      </c>
      <c r="CB5" s="15" t="n">
        <f aca="false">IFERROR(LARGE($AM$6:$AP$25,4),0)</f>
        <v>0</v>
      </c>
      <c r="CC5" s="15" t="n">
        <f aca="false">CC4+CB5</f>
        <v>0</v>
      </c>
    </row>
    <row r="6" customFormat="false" ht="39.75" hidden="false" customHeight="true" outlineLevel="0" collapsed="false">
      <c r="B6" s="21" t="s">
        <v>497</v>
      </c>
      <c r="C6" s="22"/>
      <c r="D6" s="23" t="s">
        <v>148</v>
      </c>
      <c r="E6" s="24"/>
      <c r="F6" s="24"/>
      <c r="G6" s="24"/>
      <c r="H6" s="24"/>
      <c r="I6" s="25"/>
      <c r="J6" s="24"/>
      <c r="L6" s="26" t="s">
        <v>149</v>
      </c>
      <c r="M6" s="27" t="str">
        <f aca="false">IF($U$4=0,"Noch keine Eingaben – trag deine Punkte in die gelben Felder ein.",IF($U$35=1,"Endergebnis (alle Felder ausgefüllt)","Prognose: "&amp;$U$34&amp;" Felder offen, gefüllt mit deinem Schnitt von "&amp;FIXED($U$2,1)&amp;" Punkten"))</f>
        <v>Noch keine Eingaben – trag deine Punkte in die gelben Felder ein.</v>
      </c>
      <c r="N6" s="27"/>
      <c r="T6" s="15" t="s">
        <v>150</v>
      </c>
      <c r="U6" s="15" t="n">
        <f aca="false">BC6+BC7+BC8+BC9+BC10</f>
        <v>20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IF(BN6="","",IF(ISNUMBER($J$6),INT(((2*BN6+$J$6)/3*$U$15)+0.5+0.000000001),BN6*$U$15))</f>
        <v/>
      </c>
      <c r="BP6" s="15" t="n">
        <f aca="false">IF(BO6="",0,IF(BO6&gt;=5*$U$15-0.000000001,1,0))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IF(BT6="","",IF(ISNUMBER($J$6),INT(((2*BT6+$J$6)/3*$U$15)+0.5+0.000000001),BT6*$U$15))</f>
        <v>28</v>
      </c>
      <c r="BV6" s="15" t="n">
        <f aca="false">IF(BU6="",0,IF(BU6&gt;=5*$U$15-0.000000001,1,0))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IFERROR(LARGE($AH$6:$AK$25,5),0)</f>
        <v>0</v>
      </c>
      <c r="CA6" s="15" t="n">
        <f aca="false">CA5+BZ6</f>
        <v>0</v>
      </c>
      <c r="CB6" s="15" t="n">
        <f aca="false">IFERROR(LARGE($AM$6:$AP$25,5),0)</f>
        <v>0</v>
      </c>
      <c r="CC6" s="15" t="n">
        <f aca="false">CC5+CB6</f>
        <v>0</v>
      </c>
    </row>
    <row r="7" customFormat="false" ht="37.5" hidden="false" customHeight="true" outlineLevel="0" collapsed="false">
      <c r="B7" s="21" t="s">
        <v>498</v>
      </c>
      <c r="C7" s="22"/>
      <c r="D7" s="23" t="s">
        <v>148</v>
      </c>
      <c r="E7" s="24"/>
      <c r="F7" s="24"/>
      <c r="G7" s="24"/>
      <c r="H7" s="24"/>
      <c r="I7" s="25"/>
      <c r="J7" s="24"/>
      <c r="L7" s="26" t="s">
        <v>152</v>
      </c>
      <c r="M7" s="28" t="str">
        <f aca="false">IF($U$4=0,"",$U$36)</f>
        <v/>
      </c>
      <c r="N7" s="29" t="s">
        <v>153</v>
      </c>
      <c r="T7" s="15" t="s">
        <v>154</v>
      </c>
      <c r="U7" s="15" t="n">
        <f aca="false">COUNT($AH$6:$AK$25)</f>
        <v>0</v>
      </c>
      <c r="V7" s="15" t="n">
        <f aca="false">COUNT($AM$6:$AP$25)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IF(BN7="","",IF(ISNUMBER($J$7),INT(((2*BN7+$J$7)/3*$U$15)+0.5+0.000000001),BN7*$U$15))</f>
        <v/>
      </c>
      <c r="BP7" s="15" t="n">
        <f aca="false">IF(BO7="",0,IF(BO7&gt;=5*$U$15-0.000000001,1,0))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IF(BT7="","",IF(ISNUMBER($J$7),INT(((2*BT7+$J$7)/3*$U$15)+0.5+0.000000001),BT7*$U$15))</f>
        <v>28</v>
      </c>
      <c r="BV7" s="15" t="n">
        <f aca="false">IF(BU7="",0,IF(BU7&gt;=5*$U$15-0.000000001,1,0))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IFERROR(LARGE($AH$6:$AK$25,6),0)</f>
        <v>0</v>
      </c>
      <c r="CA7" s="15" t="n">
        <f aca="false">CA6+BZ7</f>
        <v>0</v>
      </c>
      <c r="CB7" s="15" t="n">
        <f aca="false">IFERROR(LARGE($AM$6:$AP$25,6),0)</f>
        <v>0</v>
      </c>
      <c r="CC7" s="15" t="n">
        <f aca="false">CC6+CB7</f>
        <v>0</v>
      </c>
    </row>
    <row r="8" customFormat="false" ht="37.5" hidden="false" customHeight="true" outlineLevel="0" collapsed="false">
      <c r="B8" s="21" t="s">
        <v>402</v>
      </c>
      <c r="C8" s="22"/>
      <c r="D8" s="23" t="s">
        <v>148</v>
      </c>
      <c r="E8" s="24"/>
      <c r="F8" s="24"/>
      <c r="G8" s="24"/>
      <c r="H8" s="24"/>
      <c r="I8" s="25"/>
      <c r="J8" s="24"/>
      <c r="L8" s="26" t="s">
        <v>156</v>
      </c>
      <c r="M8" s="28" t="str">
        <f aca="false">IF($U$4=0,"",$U$59)</f>
        <v/>
      </c>
      <c r="N8" s="29" t="s">
        <v>157</v>
      </c>
      <c r="T8" s="15" t="s">
        <v>158</v>
      </c>
      <c r="U8" s="15" t="n">
        <f aca="false">COUNTIF($AH$6:$AK$25,"&gt;=5")</f>
        <v>0</v>
      </c>
      <c r="V8" s="15" t="n">
        <f aca="false">COUNTIF($AM$6:$AP$25,"&gt;=5")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IF(BN8="","",IF(ISNUMBER($J$8),INT(((2*BN8+$J$8)/3*$U$15)+0.5+0.000000001),BN8*$U$15))</f>
        <v/>
      </c>
      <c r="BP8" s="15" t="n">
        <f aca="false">IF(BO8="",0,IF(BO8&gt;=5*$U$15-0.000000001,1,0))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IF(BT8="","",IF(ISNUMBER($J$8),INT(((2*BT8+$J$8)/3*$U$15)+0.5+0.000000001),BT8*$U$15))</f>
        <v>28</v>
      </c>
      <c r="BV8" s="15" t="n">
        <f aca="false">IF(BU8="",0,IF(BU8&gt;=5*$U$15-0.000000001,1,0))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IFERROR(LARGE($AH$6:$AK$25,7),0)</f>
        <v>0</v>
      </c>
      <c r="CA8" s="15" t="n">
        <f aca="false">CA7+BZ8</f>
        <v>0</v>
      </c>
      <c r="CB8" s="15" t="n">
        <f aca="false">IFERROR(LARGE($AM$6:$AP$25,7),0)</f>
        <v>0</v>
      </c>
      <c r="CC8" s="15" t="n">
        <f aca="false">CC7+CB8</f>
        <v>0</v>
      </c>
    </row>
    <row r="9" customFormat="false" ht="37.5" hidden="false" customHeight="true" outlineLevel="0" collapsed="false">
      <c r="B9" s="21" t="s">
        <v>499</v>
      </c>
      <c r="C9" s="22"/>
      <c r="D9" s="23" t="s">
        <v>148</v>
      </c>
      <c r="E9" s="24"/>
      <c r="F9" s="24"/>
      <c r="G9" s="24"/>
      <c r="H9" s="24"/>
      <c r="I9" s="25"/>
      <c r="J9" s="30" t="s">
        <v>160</v>
      </c>
      <c r="L9" s="31" t="s">
        <v>161</v>
      </c>
      <c r="M9" s="32" t="str">
        <f aca="false">IF($U$4=0,"",$U$64)</f>
        <v/>
      </c>
      <c r="N9" s="29" t="s">
        <v>162</v>
      </c>
      <c r="T9" s="15" t="s">
        <v>163</v>
      </c>
      <c r="U9" s="15" t="n">
        <f aca="false">BA6+BA7+BA8</f>
        <v>0</v>
      </c>
      <c r="V9" s="15" t="n">
        <f aca="false">BI6+BI7+BI8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IF(BN9="","",BN9*$U$15)</f>
        <v/>
      </c>
      <c r="BP9" s="15" t="n">
        <f aca="false">IF(BO9="",0,IF(BO9&gt;=5*$U$15-0.000000001,1,0))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IF(BT9="","",BT9*$U$15)</f>
        <v>28</v>
      </c>
      <c r="BV9" s="15" t="n">
        <f aca="false">IF(BU9="",0,IF(BU9&gt;=5*$U$15-0.000000001,1,0))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IFERROR(LARGE($AH$6:$AK$25,8),0)</f>
        <v>0</v>
      </c>
      <c r="CA9" s="15" t="n">
        <f aca="false">CA8+BZ9</f>
        <v>0</v>
      </c>
      <c r="CB9" s="15" t="n">
        <f aca="false">IFERROR(LARGE($AM$6:$AP$25,8),0)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21" t="s">
        <v>500</v>
      </c>
      <c r="C10" s="22"/>
      <c r="D10" s="23" t="s">
        <v>148</v>
      </c>
      <c r="E10" s="24"/>
      <c r="F10" s="24"/>
      <c r="G10" s="24"/>
      <c r="H10" s="24"/>
      <c r="I10" s="25"/>
      <c r="J10" s="30" t="s">
        <v>160</v>
      </c>
      <c r="L10" s="31" t="s">
        <v>165</v>
      </c>
      <c r="M10" s="33" t="str">
        <f aca="false">IF($U$4=0,"",IF($U$66=1,$U$67/10,"nicht bestanden"))</f>
        <v/>
      </c>
      <c r="N10" s="29"/>
      <c r="T10" s="15" t="s">
        <v>166</v>
      </c>
      <c r="U10" s="15" t="n">
        <f aca="false">BA9+BA10+SUM($AB$12:$AB$25)</f>
        <v>0</v>
      </c>
      <c r="V10" s="15" t="n">
        <f aca="false">BI9+BI10+SUM($AF$12:$AF$25)</f>
        <v>0</v>
      </c>
      <c r="AR10" s="15" t="n">
        <f aca="false">IF(ISNUMBER(E10),1,0)</f>
        <v>0</v>
      </c>
      <c r="AS10" s="15" t="n">
        <f aca="false">IF(ISNUMBER(F10),1,0)</f>
        <v>0</v>
      </c>
      <c r="AT10" s="15" t="n">
        <f aca="false">IF(ISNUMBER(G10),1,0)</f>
        <v>0</v>
      </c>
      <c r="AU10" s="15" t="n">
        <f aca="false">IF(ISNUMBER(H10),1,0)</f>
        <v>0</v>
      </c>
      <c r="AW10" s="15" t="n">
        <f aca="false">SUM(E10:G10)</f>
        <v>0</v>
      </c>
      <c r="AX10" s="15" t="n">
        <f aca="false">SUM(H10:H10)</f>
        <v>0</v>
      </c>
      <c r="AY10" s="15" t="n">
        <f aca="false">COUNT(E10:G10)</f>
        <v>0</v>
      </c>
      <c r="AZ10" s="15" t="n">
        <f aca="false">COUNT(H10:H10)</f>
        <v>0</v>
      </c>
      <c r="BA10" s="15" t="n">
        <f aca="false">COUNTIF(E10:H10,"&lt;5")</f>
        <v>0</v>
      </c>
      <c r="BB10" s="15" t="n">
        <f aca="false">COUNTIF(E10:H10,0)</f>
        <v>0</v>
      </c>
      <c r="BC10" s="15" t="n">
        <f aca="false">4-COUNT(E10:H10)</f>
        <v>4</v>
      </c>
      <c r="BD10" s="15" t="n">
        <f aca="false">SUM(E10:H10)</f>
        <v>0</v>
      </c>
      <c r="BE10" s="15" t="n">
        <f aca="false">SUM(E10:G10)+$U$2*(3-COUNT(E10:G10))</f>
        <v>21</v>
      </c>
      <c r="BF10" s="15" t="n">
        <f aca="false">SUM(H10:H10)+$U$2*(1-COUNT(H10:H10))</f>
        <v>7</v>
      </c>
      <c r="BG10" s="15" t="n">
        <f aca="false">3</f>
        <v>3</v>
      </c>
      <c r="BH10" s="15" t="n">
        <f aca="false">1</f>
        <v>1</v>
      </c>
      <c r="BI10" s="15" t="n">
        <f aca="false">COUNTIF(E10:H10,"&lt;5")+IF($U$2&lt;5,1,0)*(4-COUNT(E10:H10))</f>
        <v>0</v>
      </c>
      <c r="BJ10" s="15" t="n">
        <f aca="false">COUNTIF(E10:H10,0)</f>
        <v>0</v>
      </c>
      <c r="BK10" s="15" t="n">
        <f aca="false">0</f>
        <v>0</v>
      </c>
      <c r="BL10" s="15" t="n">
        <f aca="false">SUM(E10:H10)+$U$2*(4-COUNT(E10:H10))</f>
        <v>28</v>
      </c>
      <c r="BN10" s="15" t="str">
        <f aca="false">IF(ISNUMBER($I$10),$I$10,"")</f>
        <v/>
      </c>
      <c r="BO10" s="15" t="str">
        <f aca="false">IF(BN10="","",BN10*$U$15)</f>
        <v/>
      </c>
      <c r="BP10" s="15" t="n">
        <f aca="false">IF(BO10="",0,IF(BO10&gt;=5*$U$15-0.000000001,1,0))</f>
        <v>0</v>
      </c>
      <c r="BQ10" s="15" t="n">
        <f aca="false">IF(BO10="",0,IF(BO10&lt;0.000000001,1,0))</f>
        <v>0</v>
      </c>
      <c r="BR10" s="15" t="n">
        <f aca="false">0</f>
        <v>0</v>
      </c>
      <c r="BT10" s="15" t="n">
        <f aca="false">IF(ISNUMBER($I$10),$I$10,$U$3)</f>
        <v>7</v>
      </c>
      <c r="BU10" s="15" t="n">
        <f aca="false">IF(BT10="","",BT10*$U$15)</f>
        <v>28</v>
      </c>
      <c r="BV10" s="15" t="n">
        <f aca="false">IF(BU10="",0,IF(BU10&gt;=5*$U$15-0.000000001,1,0))</f>
        <v>1</v>
      </c>
      <c r="BW10" s="15" t="n">
        <f aca="false">IF(BU10="",0,IF(BU10&lt;0.000000001,1,0))</f>
        <v>0</v>
      </c>
      <c r="BX10" s="15" t="n">
        <f aca="false">0</f>
        <v>0</v>
      </c>
      <c r="BZ10" s="15" t="n">
        <f aca="false">IFERROR(LARGE($AH$6:$AK$25,9),0)</f>
        <v>0</v>
      </c>
      <c r="CA10" s="15" t="n">
        <f aca="false">CA9+BZ10</f>
        <v>0</v>
      </c>
      <c r="CB10" s="15" t="n">
        <f aca="false">IFERROR(LARGE($AM$6:$AP$25,9),0)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6" t="s">
        <v>167</v>
      </c>
      <c r="C11" s="6" t="s">
        <v>112</v>
      </c>
      <c r="D11" s="34" t="s">
        <v>168</v>
      </c>
      <c r="E11" s="35" t="s">
        <v>113</v>
      </c>
      <c r="F11" s="35" t="s">
        <v>114</v>
      </c>
      <c r="G11" s="35" t="s">
        <v>115</v>
      </c>
      <c r="H11" s="35" t="s">
        <v>116</v>
      </c>
      <c r="I11" s="20"/>
      <c r="J11" s="20"/>
      <c r="L11" s="26" t="s">
        <v>169</v>
      </c>
      <c r="M11" s="28" t="str">
        <f aca="false">IF($U$4=0,"",IF($U$68="","–",$U$68))</f>
        <v/>
      </c>
      <c r="N11" s="29" t="str">
        <f aca="false">IF($U$4=0,"",IF($U$67="","Punkte bis 300",IF($U$68="","Bestnote erreicht","Punkte → "&amp;FIXED(($U$67-1)/10,1))))</f>
        <v/>
      </c>
      <c r="T11" s="15" t="s">
        <v>170</v>
      </c>
      <c r="U11" s="15" t="n">
        <f aca="false">AW9+AW10+AX9+AX10+SUM($Z$12:$Z$25)</f>
        <v>0</v>
      </c>
      <c r="V11" s="15" t="n">
        <f aca="false">BE9+BE10+BF9+BF10+SUM($AD$12:$AD$25)</f>
        <v>56</v>
      </c>
      <c r="X11" s="15" t="s">
        <v>171</v>
      </c>
      <c r="Y11" s="15" t="s">
        <v>172</v>
      </c>
      <c r="Z11" s="15" t="s">
        <v>173</v>
      </c>
      <c r="AA11" s="15" t="s">
        <v>174</v>
      </c>
      <c r="AB11" s="15" t="s">
        <v>127</v>
      </c>
      <c r="AC11" s="15" t="s">
        <v>128</v>
      </c>
      <c r="AD11" s="15" t="s">
        <v>175</v>
      </c>
      <c r="AE11" s="15" t="s">
        <v>176</v>
      </c>
      <c r="AF11" s="15" t="s">
        <v>135</v>
      </c>
      <c r="BZ11" s="15" t="n">
        <f aca="false">IFERROR(LARGE($AH$6:$AK$25,10),0)</f>
        <v>0</v>
      </c>
      <c r="CA11" s="15" t="n">
        <f aca="false">CA10+BZ11</f>
        <v>0</v>
      </c>
      <c r="CB11" s="15" t="n">
        <f aca="false">IFERROR(LARGE($AM$6:$AP$25,10),0)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6" t="s">
        <v>177</v>
      </c>
      <c r="C12" s="37"/>
      <c r="D12" s="38"/>
      <c r="E12" s="24"/>
      <c r="F12" s="24"/>
      <c r="G12" s="24"/>
      <c r="H12" s="24"/>
      <c r="I12" s="39"/>
      <c r="J12" s="39"/>
      <c r="L12" s="26" t="s">
        <v>178</v>
      </c>
      <c r="M12" s="28" t="str">
        <f aca="false">IF(OR($U$4=0,$U$69=""),"",$U$69)</f>
        <v/>
      </c>
      <c r="N12" s="29" t="str">
        <f aca="false">IF(OR($U$4=0,$U$69=""),"","Punkte Luft")</f>
        <v/>
      </c>
      <c r="T12" s="15" t="s">
        <v>179</v>
      </c>
      <c r="U12" s="15" t="n">
        <f aca="false">BB6+BB7+BB8+BB9+BB10+SUM($AC$12:$AC$25)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IF(Y12=1,IF(ISNUMBER(E12),1,0),IF(AH12="",0,IF(IF($U$35=1,COUNTIF($AH$6:$AK$25,"&gt;"&amp;AH12),COUNTIF($AM$6:$AP$25,"&gt;"&amp;AH12))+COUNTIF($AH$6:$AK$11,AH12)+1&lt;=$U$45,1,0)))</f>
        <v>0</v>
      </c>
      <c r="AS12" s="15" t="n">
        <f aca="false">IF(Y12=1,IF(ISNUMBER(F12),1,0),IF(AI12="",0,IF(IF($U$35=1,COUNTIF($AH$6:$AK$25,"&gt;"&amp;AI12),COUNTIF($AM$6:$AP$25,"&gt;"&amp;AI12))+COUNTIF($AH$6:$AK$11,AI12)+COUNTIF($AH12:AH12,AI12)+1&lt;=$U$45,1,0)))</f>
        <v>0</v>
      </c>
      <c r="AT12" s="15" t="n">
        <f aca="false">IF(Y12=1,IF(ISNUMBER(G12),1,0),IF(AJ12="",0,IF(IF($U$35=1,COUNTIF($AH$6:$AK$25,"&gt;"&amp;AJ12),COUNTIF($AM$6:$AP$25,"&gt;"&amp;AJ12))+COUNTIF($AH$6:$AK$11,AJ12)+COUNTIF($AH12:AI12,AJ12)+1&lt;=$U$45,1,0)))</f>
        <v>0</v>
      </c>
      <c r="AU12" s="15" t="n">
        <f aca="false">IF(Y12=1,IF(ISNUMBER(H12),1,0),IF(AK12="",0,IF(IF($U$35=1,COUNTIF($AH$6:$AK$25,"&gt;"&amp;AK12),COUNTIF($AM$6:$AP$25,"&gt;"&amp;AK12))+COUNTIF($AH$6:$AK$11,AK12)+COUNTIF($AH12:AJ12,AK12)+1&lt;=$U$45,1,0)))</f>
        <v>0</v>
      </c>
      <c r="BZ12" s="15" t="n">
        <f aca="false">IFERROR(LARGE($AH$6:$AK$25,11),0)</f>
        <v>0</v>
      </c>
      <c r="CA12" s="15" t="n">
        <f aca="false">CA11+BZ12</f>
        <v>0</v>
      </c>
      <c r="CB12" s="15" t="n">
        <f aca="false">IFERROR(LARGE($AM$6:$AP$25,11),0)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180</v>
      </c>
      <c r="C13" s="37"/>
      <c r="D13" s="38"/>
      <c r="E13" s="24"/>
      <c r="F13" s="24"/>
      <c r="G13" s="24"/>
      <c r="H13" s="24"/>
      <c r="I13" s="39"/>
      <c r="J13" s="39"/>
      <c r="L13" s="26" t="s">
        <v>181</v>
      </c>
      <c r="M13" s="28" t="str">
        <f aca="false">IF($U$4=0,"",$U$37)</f>
        <v/>
      </c>
      <c r="N13" s="29" t="str">
        <f aca="false">IF($U$4=0,"","Formel: "&amp;FIXED($U$44,1)&amp;" / "&amp;$U$43&amp;" × 40")</f>
        <v/>
      </c>
      <c r="T13" s="15" t="s">
        <v>182</v>
      </c>
      <c r="U13" s="15" t="n">
        <f aca="false">MATCH(MAX($DH$3:$DH$3),$DH$3:$DH$3,0)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IF(Y13=1,IF(ISNUMBER(E13),1,0),IF(AH13="",0,IF(IF($U$35=1,COUNTIF($AH$6:$AK$25,"&gt;"&amp;AH13),COUNTIF($AM$6:$AP$25,"&gt;"&amp;AH13))+COUNTIF($AH$6:$AK$12,AH13)+1&lt;=$U$45,1,0)))</f>
        <v>0</v>
      </c>
      <c r="AS13" s="15" t="n">
        <f aca="false">IF(Y13=1,IF(ISNUMBER(F13),1,0),IF(AI13="",0,IF(IF($U$35=1,COUNTIF($AH$6:$AK$25,"&gt;"&amp;AI13),COUNTIF($AM$6:$AP$25,"&gt;"&amp;AI13))+COUNTIF($AH$6:$AK$12,AI13)+COUNTIF($AH13:AH13,AI13)+1&lt;=$U$45,1,0)))</f>
        <v>0</v>
      </c>
      <c r="AT13" s="15" t="n">
        <f aca="false">IF(Y13=1,IF(ISNUMBER(G13),1,0),IF(AJ13="",0,IF(IF($U$35=1,COUNTIF($AH$6:$AK$25,"&gt;"&amp;AJ13),COUNTIF($AM$6:$AP$25,"&gt;"&amp;AJ13))+COUNTIF($AH$6:$AK$12,AJ13)+COUNTIF($AH13:AI13,AJ13)+1&lt;=$U$45,1,0)))</f>
        <v>0</v>
      </c>
      <c r="AU13" s="15" t="n">
        <f aca="false">IF(Y13=1,IF(ISNUMBER(H13),1,0),IF(AK13="",0,IF(IF($U$35=1,COUNTIF($AH$6:$AK$25,"&gt;"&amp;AK13),COUNTIF($AM$6:$AP$25,"&gt;"&amp;AK13))+COUNTIF($AH$6:$AK$12,AK13)+COUNTIF($AH13:AJ13,AK13)+1&lt;=$U$45,1,0)))</f>
        <v>0</v>
      </c>
      <c r="BZ13" s="15" t="n">
        <f aca="false">IFERROR(LARGE($AH$6:$AK$25,12),0)</f>
        <v>0</v>
      </c>
      <c r="CA13" s="15" t="n">
        <f aca="false">CA12+BZ13</f>
        <v>0</v>
      </c>
      <c r="CB13" s="15" t="n">
        <f aca="false">IFERROR(LARGE($AM$6:$AP$25,12),0)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183</v>
      </c>
      <c r="C14" s="37"/>
      <c r="D14" s="38"/>
      <c r="E14" s="24"/>
      <c r="F14" s="24"/>
      <c r="G14" s="24"/>
      <c r="H14" s="24"/>
      <c r="I14" s="39"/>
      <c r="J14" s="39"/>
      <c r="L14" s="26" t="s">
        <v>184</v>
      </c>
      <c r="M14" s="28" t="str">
        <f aca="false">IF($U$4=0,"",$U$38)</f>
        <v/>
      </c>
      <c r="N14" s="29" t="str">
        <f aca="false">IF($U$4=0,"","erlaubt: höchstens "&amp;$U$39)</f>
        <v/>
      </c>
      <c r="T14" s="15" t="s">
        <v>185</v>
      </c>
      <c r="U14" s="15" t="n">
        <f aca="false">MATCH(MAX($DH$23:$DH$23),$DH$23:$DH$23,0)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IF(Y14=1,IF(ISNUMBER(E14),1,0),IF(AH14="",0,IF(IF($U$35=1,COUNTIF($AH$6:$AK$25,"&gt;"&amp;AH14),COUNTIF($AM$6:$AP$25,"&gt;"&amp;AH14))+COUNTIF($AH$6:$AK$13,AH14)+1&lt;=$U$45,1,0)))</f>
        <v>0</v>
      </c>
      <c r="AS14" s="15" t="n">
        <f aca="false">IF(Y14=1,IF(ISNUMBER(F14),1,0),IF(AI14="",0,IF(IF($U$35=1,COUNTIF($AH$6:$AK$25,"&gt;"&amp;AI14),COUNTIF($AM$6:$AP$25,"&gt;"&amp;AI14))+COUNTIF($AH$6:$AK$13,AI14)+COUNTIF($AH14:AH14,AI14)+1&lt;=$U$45,1,0)))</f>
        <v>0</v>
      </c>
      <c r="AT14" s="15" t="n">
        <f aca="false">IF(Y14=1,IF(ISNUMBER(G14),1,0),IF(AJ14="",0,IF(IF($U$35=1,COUNTIF($AH$6:$AK$25,"&gt;"&amp;AJ14),COUNTIF($AM$6:$AP$25,"&gt;"&amp;AJ14))+COUNTIF($AH$6:$AK$13,AJ14)+COUNTIF($AH14:AI14,AJ14)+1&lt;=$U$45,1,0)))</f>
        <v>0</v>
      </c>
      <c r="AU14" s="15" t="n">
        <f aca="false">IF(Y14=1,IF(ISNUMBER(H14),1,0),IF(AK14="",0,IF(IF($U$35=1,COUNTIF($AH$6:$AK$25,"&gt;"&amp;AK14),COUNTIF($AM$6:$AP$25,"&gt;"&amp;AK14))+COUNTIF($AH$6:$AK$13,AK14)+COUNTIF($AH14:AJ14,AK14)+1&lt;=$U$45,1,0)))</f>
        <v>0</v>
      </c>
      <c r="BZ14" s="15" t="n">
        <f aca="false">IFERROR(LARGE($AH$6:$AK$25,13),0)</f>
        <v>0</v>
      </c>
      <c r="CA14" s="15" t="n">
        <f aca="false">CA13+BZ14</f>
        <v>0</v>
      </c>
      <c r="CB14" s="15" t="n">
        <f aca="false">IFERROR(LARGE($AM$6:$AP$25,13),0)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186</v>
      </c>
      <c r="C15" s="37"/>
      <c r="D15" s="38"/>
      <c r="E15" s="24"/>
      <c r="F15" s="24"/>
      <c r="G15" s="24"/>
      <c r="H15" s="24"/>
      <c r="I15" s="39"/>
      <c r="J15" s="39"/>
      <c r="L15" s="26" t="s">
        <v>187</v>
      </c>
      <c r="M15" s="28" t="str">
        <f aca="false">IF($U$4=0,"","+"&amp;$U$15)</f>
        <v/>
      </c>
      <c r="N15" s="29" t="s">
        <v>188</v>
      </c>
      <c r="T15" s="15" t="s">
        <v>189</v>
      </c>
      <c r="U15" s="15" t="n">
        <f aca="false">4</f>
        <v>4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IF(Y15=1,IF(ISNUMBER(E15),1,0),IF(AH15="",0,IF(IF($U$35=1,COUNTIF($AH$6:$AK$25,"&gt;"&amp;AH15),COUNTIF($AM$6:$AP$25,"&gt;"&amp;AH15))+COUNTIF($AH$6:$AK$14,AH15)+1&lt;=$U$45,1,0)))</f>
        <v>0</v>
      </c>
      <c r="AS15" s="15" t="n">
        <f aca="false">IF(Y15=1,IF(ISNUMBER(F15),1,0),IF(AI15="",0,IF(IF($U$35=1,COUNTIF($AH$6:$AK$25,"&gt;"&amp;AI15),COUNTIF($AM$6:$AP$25,"&gt;"&amp;AI15))+COUNTIF($AH$6:$AK$14,AI15)+COUNTIF($AH15:AH15,AI15)+1&lt;=$U$45,1,0)))</f>
        <v>0</v>
      </c>
      <c r="AT15" s="15" t="n">
        <f aca="false">IF(Y15=1,IF(ISNUMBER(G15),1,0),IF(AJ15="",0,IF(IF($U$35=1,COUNTIF($AH$6:$AK$25,"&gt;"&amp;AJ15),COUNTIF($AM$6:$AP$25,"&gt;"&amp;AJ15))+COUNTIF($AH$6:$AK$14,AJ15)+COUNTIF($AH15:AI15,AJ15)+1&lt;=$U$45,1,0)))</f>
        <v>0</v>
      </c>
      <c r="AU15" s="15" t="n">
        <f aca="false">IF(Y15=1,IF(ISNUMBER(H15),1,0),IF(AK15="",0,IF(IF($U$35=1,COUNTIF($AH$6:$AK$25,"&gt;"&amp;AK15),COUNTIF($AM$6:$AP$25,"&gt;"&amp;AK15))+COUNTIF($AH$6:$AK$14,AK15)+COUNTIF($AH15:AJ15,AK15)+1&lt;=$U$45,1,0)))</f>
        <v>0</v>
      </c>
      <c r="BZ15" s="15" t="n">
        <f aca="false">IFERROR(LARGE($AH$6:$AK$25,14),0)</f>
        <v>0</v>
      </c>
      <c r="CA15" s="15" t="n">
        <f aca="false">CA14+BZ15</f>
        <v>0</v>
      </c>
      <c r="CB15" s="15" t="n">
        <f aca="false">IFERROR(LARGE($AM$6:$AP$25,14),0)</f>
        <v>0</v>
      </c>
      <c r="CC15" s="15" t="n">
        <f aca="false">CC14+CB15</f>
        <v>0</v>
      </c>
    </row>
    <row r="16" customFormat="false" ht="15" hidden="false" customHeight="false" outlineLevel="0" collapsed="false">
      <c r="B16" s="36" t="s">
        <v>190</v>
      </c>
      <c r="C16" s="37"/>
      <c r="D16" s="38"/>
      <c r="E16" s="24"/>
      <c r="F16" s="24"/>
      <c r="G16" s="24"/>
      <c r="H16" s="24"/>
      <c r="I16" s="39"/>
      <c r="J16" s="39"/>
      <c r="L16" s="26" t="s">
        <v>191</v>
      </c>
      <c r="M16" s="28" t="str">
        <f aca="false">IF($U$4=0,"","≈ +"&amp;FIXED(40/$U$43,2))</f>
        <v/>
      </c>
      <c r="N16" s="29" t="s">
        <v>192</v>
      </c>
      <c r="T16" s="15" t="s">
        <v>193</v>
      </c>
      <c r="U16" s="15" t="n">
        <f aca="false">MIN(300,INT((SUM(BO6,BO7,BO8,BO9,BO10))+0.5+0.000000001))</f>
        <v>0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IF(Y16=1,IF(ISNUMBER(E16),1,0),IF(AH16="",0,IF(IF($U$35=1,COUNTIF($AH$6:$AK$25,"&gt;"&amp;AH16),COUNTIF($AM$6:$AP$25,"&gt;"&amp;AH16))+COUNTIF($AH$6:$AK$15,AH16)+1&lt;=$U$45,1,0)))</f>
        <v>0</v>
      </c>
      <c r="AS16" s="15" t="n">
        <f aca="false">IF(Y16=1,IF(ISNUMBER(F16),1,0),IF(AI16="",0,IF(IF($U$35=1,COUNTIF($AH$6:$AK$25,"&gt;"&amp;AI16),COUNTIF($AM$6:$AP$25,"&gt;"&amp;AI16))+COUNTIF($AH$6:$AK$15,AI16)+COUNTIF($AH16:AH16,AI16)+1&lt;=$U$45,1,0)))</f>
        <v>0</v>
      </c>
      <c r="AT16" s="15" t="n">
        <f aca="false">IF(Y16=1,IF(ISNUMBER(G16),1,0),IF(AJ16="",0,IF(IF($U$35=1,COUNTIF($AH$6:$AK$25,"&gt;"&amp;AJ16),COUNTIF($AM$6:$AP$25,"&gt;"&amp;AJ16))+COUNTIF($AH$6:$AK$15,AJ16)+COUNTIF($AH16:AI16,AJ16)+1&lt;=$U$45,1,0)))</f>
        <v>0</v>
      </c>
      <c r="AU16" s="15" t="n">
        <f aca="false">IF(Y16=1,IF(ISNUMBER(H16),1,0),IF(AK16="",0,IF(IF($U$35=1,COUNTIF($AH$6:$AK$25,"&gt;"&amp;AK16),COUNTIF($AM$6:$AP$25,"&gt;"&amp;AK16))+COUNTIF($AH$6:$AK$15,AK16)+COUNTIF($AH16:AJ16,AK16)+1&lt;=$U$45,1,0)))</f>
        <v>0</v>
      </c>
      <c r="BZ16" s="15" t="n">
        <f aca="false">IFERROR(LARGE($AH$6:$AK$25,15),0)</f>
        <v>0</v>
      </c>
      <c r="CA16" s="15" t="n">
        <f aca="false">CA15+BZ16</f>
        <v>0</v>
      </c>
      <c r="CB16" s="15" t="n">
        <f aca="false">IFERROR(LARGE($AM$6:$AP$25,15),0)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194</v>
      </c>
      <c r="C17" s="37"/>
      <c r="D17" s="38"/>
      <c r="E17" s="24"/>
      <c r="F17" s="24"/>
      <c r="G17" s="24"/>
      <c r="H17" s="24"/>
      <c r="I17" s="39"/>
      <c r="J17" s="39"/>
      <c r="T17" s="15" t="s">
        <v>195</v>
      </c>
      <c r="U17" s="15" t="n">
        <f aca="false">SUM(BP6,BP7,BP8,BP9,BP10)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IF(Y17=1,IF(ISNUMBER(E17),1,0),IF(AH17="",0,IF(IF($U$35=1,COUNTIF($AH$6:$AK$25,"&gt;"&amp;AH17),COUNTIF($AM$6:$AP$25,"&gt;"&amp;AH17))+COUNTIF($AH$6:$AK$16,AH17)+1&lt;=$U$45,1,0)))</f>
        <v>0</v>
      </c>
      <c r="AS17" s="15" t="n">
        <f aca="false">IF(Y17=1,IF(ISNUMBER(F17),1,0),IF(AI17="",0,IF(IF($U$35=1,COUNTIF($AH$6:$AK$25,"&gt;"&amp;AI17),COUNTIF($AM$6:$AP$25,"&gt;"&amp;AI17))+COUNTIF($AH$6:$AK$16,AI17)+COUNTIF($AH17:AH17,AI17)+1&lt;=$U$45,1,0)))</f>
        <v>0</v>
      </c>
      <c r="AT17" s="15" t="n">
        <f aca="false">IF(Y17=1,IF(ISNUMBER(G17),1,0),IF(AJ17="",0,IF(IF($U$35=1,COUNTIF($AH$6:$AK$25,"&gt;"&amp;AJ17),COUNTIF($AM$6:$AP$25,"&gt;"&amp;AJ17))+COUNTIF($AH$6:$AK$16,AJ17)+COUNTIF($AH17:AI17,AJ17)+1&lt;=$U$45,1,0)))</f>
        <v>0</v>
      </c>
      <c r="AU17" s="15" t="n">
        <f aca="false">IF(Y17=1,IF(ISNUMBER(H17),1,0),IF(AK17="",0,IF(IF($U$35=1,COUNTIF($AH$6:$AK$25,"&gt;"&amp;AK17),COUNTIF($AM$6:$AP$25,"&gt;"&amp;AK17))+COUNTIF($AH$6:$AK$16,AK17)+COUNTIF($AH17:AJ17,AK17)+1&lt;=$U$45,1,0)))</f>
        <v>0</v>
      </c>
      <c r="BZ17" s="15" t="n">
        <f aca="false">IFERROR(LARGE($AH$6:$AK$25,16),0)</f>
        <v>0</v>
      </c>
      <c r="CA17" s="15" t="n">
        <f aca="false">CA16+BZ17</f>
        <v>0</v>
      </c>
      <c r="CB17" s="15" t="n">
        <f aca="false">IFERROR(LARGE($AM$6:$AP$25,16),0)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196</v>
      </c>
      <c r="C18" s="37"/>
      <c r="D18" s="38"/>
      <c r="E18" s="24"/>
      <c r="F18" s="24"/>
      <c r="G18" s="24"/>
      <c r="H18" s="24"/>
      <c r="I18" s="39"/>
      <c r="J18" s="39"/>
      <c r="L18" s="40" t="s">
        <v>197</v>
      </c>
      <c r="M18" s="41" t="s">
        <v>149</v>
      </c>
      <c r="N18" s="6" t="s">
        <v>198</v>
      </c>
      <c r="T18" s="15" t="s">
        <v>199</v>
      </c>
      <c r="U18" s="15" t="n">
        <f aca="false">0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IF(Y18=1,IF(ISNUMBER(E18),1,0),IF(AH18="",0,IF(IF($U$35=1,COUNTIF($AH$6:$AK$25,"&gt;"&amp;AH18),COUNTIF($AM$6:$AP$25,"&gt;"&amp;AH18))+COUNTIF($AH$6:$AK$17,AH18)+1&lt;=$U$45,1,0)))</f>
        <v>0</v>
      </c>
      <c r="AS18" s="15" t="n">
        <f aca="false">IF(Y18=1,IF(ISNUMBER(F18),1,0),IF(AI18="",0,IF(IF($U$35=1,COUNTIF($AH$6:$AK$25,"&gt;"&amp;AI18),COUNTIF($AM$6:$AP$25,"&gt;"&amp;AI18))+COUNTIF($AH$6:$AK$17,AI18)+COUNTIF($AH18:AH18,AI18)+1&lt;=$U$45,1,0)))</f>
        <v>0</v>
      </c>
      <c r="AT18" s="15" t="n">
        <f aca="false">IF(Y18=1,IF(ISNUMBER(G18),1,0),IF(AJ18="",0,IF(IF($U$35=1,COUNTIF($AH$6:$AK$25,"&gt;"&amp;AJ18),COUNTIF($AM$6:$AP$25,"&gt;"&amp;AJ18))+COUNTIF($AH$6:$AK$17,AJ18)+COUNTIF($AH18:AI18,AJ18)+1&lt;=$U$45,1,0)))</f>
        <v>0</v>
      </c>
      <c r="AU18" s="15" t="n">
        <f aca="false">IF(Y18=1,IF(ISNUMBER(H18),1,0),IF(AK18="",0,IF(IF($U$35=1,COUNTIF($AH$6:$AK$25,"&gt;"&amp;AK18),COUNTIF($AM$6:$AP$25,"&gt;"&amp;AK18))+COUNTIF($AH$6:$AK$17,AK18)+COUNTIF($AH18:AJ18,AK18)+1&lt;=$U$45,1,0)))</f>
        <v>0</v>
      </c>
      <c r="BZ18" s="15" t="n">
        <f aca="false">IFERROR(LARGE($AH$6:$AK$25,17),0)</f>
        <v>0</v>
      </c>
      <c r="CA18" s="15" t="n">
        <f aca="false">CA17+BZ18</f>
        <v>0</v>
      </c>
      <c r="CB18" s="15" t="n">
        <f aca="false">IFERROR(LARGE($AM$6:$AP$25,17),0)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200</v>
      </c>
      <c r="C19" s="37"/>
      <c r="D19" s="38"/>
      <c r="E19" s="24"/>
      <c r="F19" s="24"/>
      <c r="G19" s="24"/>
      <c r="H19" s="24"/>
      <c r="I19" s="39"/>
      <c r="J19" s="39"/>
      <c r="L19" s="42" t="s">
        <v>201</v>
      </c>
      <c r="M19" s="43" t="str">
        <f aca="false">IF($U$4=0,"",IF($U$47=1,"✓ erfüllt","✗ nicht erfüllt"))</f>
        <v/>
      </c>
      <c r="N19" s="36" t="str">
        <f aca="false">IF($U$4=0,"",$U$36&amp;" Punkte")</f>
        <v/>
      </c>
      <c r="T19" s="15" t="s">
        <v>202</v>
      </c>
      <c r="U19" s="15" t="n">
        <f aca="false">BQ6+BQ7+BQ8+BQ9+BQ10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IF(Y19=1,IF(ISNUMBER(E19),1,0),IF(AH19="",0,IF(IF($U$35=1,COUNTIF($AH$6:$AK$25,"&gt;"&amp;AH19),COUNTIF($AM$6:$AP$25,"&gt;"&amp;AH19))+COUNTIF($AH$6:$AK$18,AH19)+1&lt;=$U$45,1,0)))</f>
        <v>0</v>
      </c>
      <c r="AS19" s="15" t="n">
        <f aca="false">IF(Y19=1,IF(ISNUMBER(F19),1,0),IF(AI19="",0,IF(IF($U$35=1,COUNTIF($AH$6:$AK$25,"&gt;"&amp;AI19),COUNTIF($AM$6:$AP$25,"&gt;"&amp;AI19))+COUNTIF($AH$6:$AK$18,AI19)+COUNTIF($AH19:AH19,AI19)+1&lt;=$U$45,1,0)))</f>
        <v>0</v>
      </c>
      <c r="AT19" s="15" t="n">
        <f aca="false">IF(Y19=1,IF(ISNUMBER(G19),1,0),IF(AJ19="",0,IF(IF($U$35=1,COUNTIF($AH$6:$AK$25,"&gt;"&amp;AJ19),COUNTIF($AM$6:$AP$25,"&gt;"&amp;AJ19))+COUNTIF($AH$6:$AK$18,AJ19)+COUNTIF($AH19:AI19,AJ19)+1&lt;=$U$45,1,0)))</f>
        <v>0</v>
      </c>
      <c r="AU19" s="15" t="n">
        <f aca="false">IF(Y19=1,IF(ISNUMBER(H19),1,0),IF(AK19="",0,IF(IF($U$35=1,COUNTIF($AH$6:$AK$25,"&gt;"&amp;AK19),COUNTIF($AM$6:$AP$25,"&gt;"&amp;AK19))+COUNTIF($AH$6:$AK$18,AK19)+COUNTIF($AH19:AJ19,AK19)+1&lt;=$U$45,1,0)))</f>
        <v>0</v>
      </c>
      <c r="BZ19" s="15" t="n">
        <f aca="false">IFERROR(LARGE($AH$6:$AK$25,18),0)</f>
        <v>0</v>
      </c>
      <c r="CA19" s="15" t="n">
        <f aca="false">CA18+BZ19</f>
        <v>0</v>
      </c>
      <c r="CB19" s="15" t="n">
        <f aca="false">IFERROR(LARGE($AM$6:$AP$25,18),0)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203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"&amp;$U$39&amp;" Unterkurse (unter 5 Punkten)"</f>
        <v>Höchstens 7 Unterkurse (unter 5 Punkten)</v>
      </c>
      <c r="M20" s="43" t="str">
        <f aca="false">IF($U$4=0,"",IF($U$48=1,"✓ erfüllt","✗ nicht erfüllt"))</f>
        <v/>
      </c>
      <c r="N20" s="36" t="str">
        <f aca="false">IF($U$4=0,"",$U$38&amp;" Unterkurse")</f>
        <v/>
      </c>
      <c r="T20" s="15" t="s">
        <v>204</v>
      </c>
      <c r="U20" s="15" t="n">
        <f aca="false">BR6+BR7+BR8+BR9+BR10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IF(Y20=1,IF(ISNUMBER(E20),1,0),IF(AH20="",0,IF(IF($U$35=1,COUNTIF($AH$6:$AK$25,"&gt;"&amp;AH20),COUNTIF($AM$6:$AP$25,"&gt;"&amp;AH20))+COUNTIF($AH$6:$AK$19,AH20)+1&lt;=$U$45,1,0)))</f>
        <v>0</v>
      </c>
      <c r="AS20" s="15" t="n">
        <f aca="false">IF(Y20=1,IF(ISNUMBER(F20),1,0),IF(AI20="",0,IF(IF($U$35=1,COUNTIF($AH$6:$AK$25,"&gt;"&amp;AI20),COUNTIF($AM$6:$AP$25,"&gt;"&amp;AI20))+COUNTIF($AH$6:$AK$19,AI20)+COUNTIF($AH20:AH20,AI20)+1&lt;=$U$45,1,0)))</f>
        <v>0</v>
      </c>
      <c r="AT20" s="15" t="n">
        <f aca="false">IF(Y20=1,IF(ISNUMBER(G20),1,0),IF(AJ20="",0,IF(IF($U$35=1,COUNTIF($AH$6:$AK$25,"&gt;"&amp;AJ20),COUNTIF($AM$6:$AP$25,"&gt;"&amp;AJ20))+COUNTIF($AH$6:$AK$19,AJ20)+COUNTIF($AH20:AI20,AJ20)+1&lt;=$U$45,1,0)))</f>
        <v>0</v>
      </c>
      <c r="AU20" s="15" t="n">
        <f aca="false">IF(Y20=1,IF(ISNUMBER(H20),1,0),IF(AK20="",0,IF(IF($U$35=1,COUNTIF($AH$6:$AK$25,"&gt;"&amp;AK20),COUNTIF($AM$6:$AP$25,"&gt;"&amp;AK20))+COUNTIF($AH$6:$AK$19,AK20)+COUNTIF($AH20:AJ20,AK20)+1&lt;=$U$45,1,0)))</f>
        <v>0</v>
      </c>
      <c r="BZ20" s="15" t="n">
        <f aca="false">IFERROR(LARGE($AH$6:$AK$25,19),0)</f>
        <v>0</v>
      </c>
      <c r="CA20" s="15" t="n">
        <f aca="false">CA19+BZ20</f>
        <v>0</v>
      </c>
      <c r="CB20" s="15" t="n">
        <f aca="false">IFERROR(LARGE($AM$6:$AP$25,19),0)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205</v>
      </c>
      <c r="C21" s="37"/>
      <c r="D21" s="38"/>
      <c r="E21" s="24"/>
      <c r="F21" s="24"/>
      <c r="G21" s="24"/>
      <c r="H21" s="24"/>
      <c r="I21" s="39"/>
      <c r="J21" s="39"/>
      <c r="L21" s="42" t="s">
        <v>209</v>
      </c>
      <c r="M21" s="43" t="str">
        <f aca="false">IF($U$4=0,"",IF($U$53=1,"✓ erfüllt","✗ nicht erfüllt"))</f>
        <v/>
      </c>
      <c r="N21" s="36" t="str">
        <f aca="false">IF($U$4=0,"",$U$12&amp;" mit 0 Punkten")</f>
        <v/>
      </c>
      <c r="T21" s="15" t="s">
        <v>207</v>
      </c>
      <c r="U21" s="15" t="n">
        <f aca="false">MIN(300,INT((SUM(BU6,BU7,BU8,BU9,BU10))+0.5+0.000000001))</f>
        <v>140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IF(Y21=1,IF(ISNUMBER(E21),1,0),IF(AH21="",0,IF(IF($U$35=1,COUNTIF($AH$6:$AK$25,"&gt;"&amp;AH21),COUNTIF($AM$6:$AP$25,"&gt;"&amp;AH21))+COUNTIF($AH$6:$AK$20,AH21)+1&lt;=$U$45,1,0)))</f>
        <v>0</v>
      </c>
      <c r="AS21" s="15" t="n">
        <f aca="false">IF(Y21=1,IF(ISNUMBER(F21),1,0),IF(AI21="",0,IF(IF($U$35=1,COUNTIF($AH$6:$AK$25,"&gt;"&amp;AI21),COUNTIF($AM$6:$AP$25,"&gt;"&amp;AI21))+COUNTIF($AH$6:$AK$20,AI21)+COUNTIF($AH21:AH21,AI21)+1&lt;=$U$45,1,0)))</f>
        <v>0</v>
      </c>
      <c r="AT21" s="15" t="n">
        <f aca="false">IF(Y21=1,IF(ISNUMBER(G21),1,0),IF(AJ21="",0,IF(IF($U$35=1,COUNTIF($AH$6:$AK$25,"&gt;"&amp;AJ21),COUNTIF($AM$6:$AP$25,"&gt;"&amp;AJ21))+COUNTIF($AH$6:$AK$20,AJ21)+COUNTIF($AH21:AI21,AJ21)+1&lt;=$U$45,1,0)))</f>
        <v>0</v>
      </c>
      <c r="AU21" s="15" t="n">
        <f aca="false">IF(Y21=1,IF(ISNUMBER(H21),1,0),IF(AK21="",0,IF(IF($U$35=1,COUNTIF($AH$6:$AK$25,"&gt;"&amp;AK21),COUNTIF($AM$6:$AP$25,"&gt;"&amp;AK21))+COUNTIF($AH$6:$AK$20,AK21)+COUNTIF($AH21:AJ21,AK21)+1&lt;=$U$45,1,0)))</f>
        <v>0</v>
      </c>
      <c r="BZ21" s="15" t="n">
        <f aca="false">IFERROR(LARGE($AH$6:$AK$25,20),0)</f>
        <v>0</v>
      </c>
      <c r="CA21" s="15" t="n">
        <f aca="false">CA20+BZ21</f>
        <v>0</v>
      </c>
      <c r="CB21" s="15" t="n">
        <f aca="false">IFERROR(LARGE($AM$6:$AP$25,20),0)</f>
        <v>0</v>
      </c>
      <c r="CC21" s="15" t="n">
        <f aca="false">CC20+CB21</f>
        <v>0</v>
      </c>
    </row>
    <row r="22" customFormat="false" ht="22.35" hidden="false" customHeight="false" outlineLevel="0" collapsed="false">
      <c r="B22" s="36" t="s">
        <v>208</v>
      </c>
      <c r="C22" s="37"/>
      <c r="D22" s="38"/>
      <c r="E22" s="24"/>
      <c r="F22" s="24"/>
      <c r="G22" s="24"/>
      <c r="H22" s="24"/>
      <c r="I22" s="39"/>
      <c r="J22" s="39"/>
      <c r="L22" s="42" t="s">
        <v>212</v>
      </c>
      <c r="M22" s="43" t="str">
        <f aca="false">IF($U$4=0,"",IF($U$56=1,"✓ erfüllt","✗ nicht erfüllt"))</f>
        <v/>
      </c>
      <c r="N22" s="36"/>
      <c r="T22" s="15" t="s">
        <v>210</v>
      </c>
      <c r="U22" s="15" t="n">
        <f aca="false">SUM(BV6,BV7,BV8,BV9,BV10)</f>
        <v>5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IF(Y22=1,IF(ISNUMBER(E22),1,0),IF(AH22="",0,IF(IF($U$35=1,COUNTIF($AH$6:$AK$25,"&gt;"&amp;AH22),COUNTIF($AM$6:$AP$25,"&gt;"&amp;AH22))+COUNTIF($AH$6:$AK$21,AH22)+1&lt;=$U$45,1,0)))</f>
        <v>0</v>
      </c>
      <c r="AS22" s="15" t="n">
        <f aca="false">IF(Y22=1,IF(ISNUMBER(F22),1,0),IF(AI22="",0,IF(IF($U$35=1,COUNTIF($AH$6:$AK$25,"&gt;"&amp;AI22),COUNTIF($AM$6:$AP$25,"&gt;"&amp;AI22))+COUNTIF($AH$6:$AK$21,AI22)+COUNTIF($AH22:AH22,AI22)+1&lt;=$U$45,1,0)))</f>
        <v>0</v>
      </c>
      <c r="AT22" s="15" t="n">
        <f aca="false">IF(Y22=1,IF(ISNUMBER(G22),1,0),IF(AJ22="",0,IF(IF($U$35=1,COUNTIF($AH$6:$AK$25,"&gt;"&amp;AJ22),COUNTIF($AM$6:$AP$25,"&gt;"&amp;AJ22))+COUNTIF($AH$6:$AK$21,AJ22)+COUNTIF($AH22:AI22,AJ22)+1&lt;=$U$45,1,0)))</f>
        <v>0</v>
      </c>
      <c r="AU22" s="15" t="n">
        <f aca="false">IF(Y22=1,IF(ISNUMBER(H22),1,0),IF(AK22="",0,IF(IF($U$35=1,COUNTIF($AH$6:$AK$25,"&gt;"&amp;AK22),COUNTIF($AM$6:$AP$25,"&gt;"&amp;AK22))+COUNTIF($AH$6:$AK$21,AK22)+COUNTIF($AH22:AJ22,AK22)+1&lt;=$U$45,1,0)))</f>
        <v>0</v>
      </c>
      <c r="BZ22" s="15" t="n">
        <f aca="false">IFERROR(LARGE($AH$6:$AK$25,21),0)</f>
        <v>0</v>
      </c>
      <c r="CA22" s="15" t="n">
        <f aca="false">CA21+BZ22</f>
        <v>0</v>
      </c>
      <c r="CB22" s="15" t="n">
        <f aca="false">IFERROR(LARGE($AM$6:$AP$25,21),0)</f>
        <v>0</v>
      </c>
      <c r="CC22" s="15" t="n">
        <f aca="false">CC21+CB22</f>
        <v>0</v>
      </c>
      <c r="CE22" s="15" t="s">
        <v>79</v>
      </c>
      <c r="CF22" s="15" t="s">
        <v>80</v>
      </c>
      <c r="CG22" s="15" t="s">
        <v>81</v>
      </c>
      <c r="CH22" s="15" t="s">
        <v>82</v>
      </c>
      <c r="CI22" s="15" t="s">
        <v>83</v>
      </c>
      <c r="CJ22" s="15" t="s">
        <v>84</v>
      </c>
      <c r="CK22" s="15" t="s">
        <v>85</v>
      </c>
      <c r="CL22" s="15" t="s">
        <v>86</v>
      </c>
      <c r="CM22" s="15" t="s">
        <v>87</v>
      </c>
      <c r="CN22" s="15" t="s">
        <v>88</v>
      </c>
      <c r="CO22" s="15" t="s">
        <v>89</v>
      </c>
      <c r="CP22" s="15" t="s">
        <v>90</v>
      </c>
      <c r="CQ22" s="15" t="s">
        <v>91</v>
      </c>
      <c r="CR22" s="15" t="s">
        <v>92</v>
      </c>
      <c r="CS22" s="15" t="s">
        <v>93</v>
      </c>
      <c r="CT22" s="15" t="s">
        <v>94</v>
      </c>
      <c r="CU22" s="15" t="s">
        <v>95</v>
      </c>
      <c r="CV22" s="15" t="s">
        <v>96</v>
      </c>
      <c r="CW22" s="15" t="s">
        <v>97</v>
      </c>
      <c r="CX22" s="15" t="s">
        <v>98</v>
      </c>
      <c r="CY22" s="15" t="s">
        <v>99</v>
      </c>
      <c r="CZ22" s="15" t="s">
        <v>100</v>
      </c>
      <c r="DA22" s="15" t="s">
        <v>101</v>
      </c>
      <c r="DB22" s="15" t="s">
        <v>102</v>
      </c>
      <c r="DC22" s="15" t="s">
        <v>103</v>
      </c>
      <c r="DD22" s="15" t="s">
        <v>104</v>
      </c>
      <c r="DE22" s="15" t="s">
        <v>105</v>
      </c>
      <c r="DF22" s="15" t="s">
        <v>106</v>
      </c>
      <c r="DG22" s="15" t="s">
        <v>107</v>
      </c>
      <c r="DH22" s="15" t="s">
        <v>108</v>
      </c>
    </row>
    <row r="23" customFormat="false" ht="15" hidden="false" customHeight="false" outlineLevel="0" collapsed="false">
      <c r="B23" s="36" t="s">
        <v>211</v>
      </c>
      <c r="C23" s="37"/>
      <c r="D23" s="38"/>
      <c r="E23" s="24"/>
      <c r="F23" s="24"/>
      <c r="G23" s="24"/>
      <c r="H23" s="24"/>
      <c r="I23" s="39"/>
      <c r="J23" s="39"/>
      <c r="L23" s="42" t="s">
        <v>215</v>
      </c>
      <c r="M23" s="43" t="str">
        <f aca="false">IF($U$4=0,"",IF($U$61=1,"✓ erfüllt","✗ nicht erfüllt"))</f>
        <v/>
      </c>
      <c r="N23" s="36" t="str">
        <f aca="false">IF($U$4=0,"",$U$59&amp;" Punkte")</f>
        <v/>
      </c>
      <c r="T23" s="15" t="s">
        <v>213</v>
      </c>
      <c r="U23" s="15" t="n">
        <f aca="false">0</f>
        <v>0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IF(Y23=1,IF(ISNUMBER(E23),1,0),IF(AH23="",0,IF(IF($U$35=1,COUNTIF($AH$6:$AK$25,"&gt;"&amp;AH23),COUNTIF($AM$6:$AP$25,"&gt;"&amp;AH23))+COUNTIF($AH$6:$AK$22,AH23)+1&lt;=$U$45,1,0)))</f>
        <v>0</v>
      </c>
      <c r="AS23" s="15" t="n">
        <f aca="false">IF(Y23=1,IF(ISNUMBER(F23),1,0),IF(AI23="",0,IF(IF($U$35=1,COUNTIF($AH$6:$AK$25,"&gt;"&amp;AI23),COUNTIF($AM$6:$AP$25,"&gt;"&amp;AI23))+COUNTIF($AH$6:$AK$22,AI23)+COUNTIF($AH23:AH23,AI23)+1&lt;=$U$45,1,0)))</f>
        <v>0</v>
      </c>
      <c r="AT23" s="15" t="n">
        <f aca="false">IF(Y23=1,IF(ISNUMBER(G23),1,0),IF(AJ23="",0,IF(IF($U$35=1,COUNTIF($AH$6:$AK$25,"&gt;"&amp;AJ23),COUNTIF($AM$6:$AP$25,"&gt;"&amp;AJ23))+COUNTIF($AH$6:$AK$22,AJ23)+COUNTIF($AH23:AI23,AJ23)+1&lt;=$U$45,1,0)))</f>
        <v>0</v>
      </c>
      <c r="AU23" s="15" t="n">
        <f aca="false">IF(Y23=1,IF(ISNUMBER(H23),1,0),IF(AK23="",0,IF(IF($U$35=1,COUNTIF($AH$6:$AK$25,"&gt;"&amp;AK23),COUNTIF($AM$6:$AP$25,"&gt;"&amp;AK23))+COUNTIF($AH$6:$AK$22,AK23)+COUNTIF($AH23:AJ23,AK23)+1&lt;=$U$45,1,0)))</f>
        <v>0</v>
      </c>
      <c r="BZ23" s="15" t="n">
        <f aca="false">IFERROR(LARGE($AH$6:$AK$25,22),0)</f>
        <v>0</v>
      </c>
      <c r="CA23" s="15" t="n">
        <f aca="false">CA22+BZ23</f>
        <v>0</v>
      </c>
      <c r="CB23" s="15" t="n">
        <f aca="false">IFERROR(LARGE($AM$6:$AP$25,22),0)</f>
        <v>0</v>
      </c>
      <c r="CC23" s="15" t="n">
        <f aca="false">CC22+CB23</f>
        <v>0</v>
      </c>
      <c r="CE23" s="15" t="n">
        <f aca="false">36</f>
        <v>36</v>
      </c>
      <c r="CF23" s="15" t="n">
        <f aca="false">CE23-$V$5-$V$6-0</f>
        <v>16</v>
      </c>
      <c r="CG23" s="15" t="n">
        <f aca="false">MAX(0,CF23)</f>
        <v>16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16</v>
      </c>
      <c r="CK23" s="15" t="n">
        <f aca="false">$V$5+CH23+CJ23</f>
        <v>36</v>
      </c>
      <c r="CL23" s="15" t="n">
        <f aca="false">1*BE6+1*BF6+1*BE7+1*BF7+1*BE8+1*BF8</f>
        <v>84</v>
      </c>
      <c r="CM23" s="15" t="n">
        <f aca="false">1*BG6+1*BH6+1*BG7+1*BH7+1*BG8+1*BH8+1*BG9+1*BH9+1*BG10+1*BH10+SUM($AE$12:$AE$25)</f>
        <v>20</v>
      </c>
      <c r="CN23" s="15" t="n">
        <f aca="false">IF(CH23=0,0,INDEX($CC$2:$CC$57,CH23))</f>
        <v>0</v>
      </c>
      <c r="CO23" s="15" t="n">
        <f aca="false">CL23+$V$11+CN23+CJ23*$U$2</f>
        <v>252</v>
      </c>
      <c r="CP23" s="15" t="n">
        <f aca="false">CM23+CH23+CJ23</f>
        <v>36</v>
      </c>
      <c r="CQ23" s="15" t="n">
        <f aca="false">IF(CP23&gt;0,MIN(600,INT((CO23/CP23*40)+0.5+0.000000001)),0)</f>
        <v>280</v>
      </c>
      <c r="CR23" s="15" t="n">
        <f aca="false">$V$9+CT23</f>
        <v>0</v>
      </c>
      <c r="CS23" s="15" t="n">
        <f aca="false">7</f>
        <v>7</v>
      </c>
      <c r="CT23" s="15" t="n">
        <f aca="false">$V$10+MAX(0,CH23-$V$8)+CJ23*IF($U$2&lt;5,1,0)</f>
        <v>0</v>
      </c>
      <c r="CU23" s="15" t="n">
        <f aca="false">$V$11+CN23+CJ23*$U$2</f>
        <v>168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1</f>
        <v>1</v>
      </c>
      <c r="CY23" s="15" t="n">
        <f aca="false">1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1028064</v>
      </c>
    </row>
    <row r="24" customFormat="false" ht="15" hidden="false" customHeight="false" outlineLevel="0" collapsed="false">
      <c r="B24" s="36" t="s">
        <v>214</v>
      </c>
      <c r="C24" s="37"/>
      <c r="D24" s="38"/>
      <c r="E24" s="24"/>
      <c r="F24" s="24"/>
      <c r="G24" s="24"/>
      <c r="H24" s="24"/>
      <c r="I24" s="39"/>
      <c r="J24" s="39"/>
      <c r="L24" s="42" t="str">
        <f aca="false">"In mindestens "&amp;$U$26&amp;" Prüfungen mindestens 5 Punkte (einfach)"</f>
        <v>In mindestens 3 Prüfungen mindestens 5 Punkte (einfach)</v>
      </c>
      <c r="M24" s="43" t="str">
        <f aca="false">IF($U$4=0,"",IF($U$62=1,"✓ erfüllt","✗ nicht erfüllt"))</f>
        <v/>
      </c>
      <c r="N24" s="36" t="str">
        <f aca="false">IF($U$4=0,"",$U$60&amp;" Prüfungen")</f>
        <v/>
      </c>
      <c r="T24" s="15" t="s">
        <v>216</v>
      </c>
      <c r="U24" s="15" t="n">
        <f aca="false">BW6+BW7+BW8+BW9+BW10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IF(Y24=1,IF(ISNUMBER(E24),1,0),IF(AH24="",0,IF(IF($U$35=1,COUNTIF($AH$6:$AK$25,"&gt;"&amp;AH24),COUNTIF($AM$6:$AP$25,"&gt;"&amp;AH24))+COUNTIF($AH$6:$AK$23,AH24)+1&lt;=$U$45,1,0)))</f>
        <v>0</v>
      </c>
      <c r="AS24" s="15" t="n">
        <f aca="false">IF(Y24=1,IF(ISNUMBER(F24),1,0),IF(AI24="",0,IF(IF($U$35=1,COUNTIF($AH$6:$AK$25,"&gt;"&amp;AI24),COUNTIF($AM$6:$AP$25,"&gt;"&amp;AI24))+COUNTIF($AH$6:$AK$23,AI24)+COUNTIF($AH24:AH24,AI24)+1&lt;=$U$45,1,0)))</f>
        <v>0</v>
      </c>
      <c r="AT24" s="15" t="n">
        <f aca="false">IF(Y24=1,IF(ISNUMBER(G24),1,0),IF(AJ24="",0,IF(IF($U$35=1,COUNTIF($AH$6:$AK$25,"&gt;"&amp;AJ24),COUNTIF($AM$6:$AP$25,"&gt;"&amp;AJ24))+COUNTIF($AH$6:$AK$23,AJ24)+COUNTIF($AH24:AI24,AJ24)+1&lt;=$U$45,1,0)))</f>
        <v>0</v>
      </c>
      <c r="AU24" s="15" t="n">
        <f aca="false">IF(Y24=1,IF(ISNUMBER(H24),1,0),IF(AK24="",0,IF(IF($U$35=1,COUNTIF($AH$6:$AK$25,"&gt;"&amp;AK24),COUNTIF($AM$6:$AP$25,"&gt;"&amp;AK24))+COUNTIF($AH$6:$AK$23,AK24)+COUNTIF($AH24:AJ24,AK24)+1&lt;=$U$45,1,0)))</f>
        <v>0</v>
      </c>
      <c r="BZ24" s="15" t="n">
        <f aca="false">IFERROR(LARGE($AH$6:$AK$25,23),0)</f>
        <v>0</v>
      </c>
      <c r="CA24" s="15" t="n">
        <f aca="false">CA23+BZ24</f>
        <v>0</v>
      </c>
      <c r="CB24" s="15" t="n">
        <f aca="false">IFERROR(LARGE($AM$6:$AP$25,23),0)</f>
        <v>0</v>
      </c>
      <c r="CC24" s="15" t="n">
        <f aca="false">CC23+CB24</f>
        <v>0</v>
      </c>
    </row>
    <row r="25" customFormat="false" ht="15" hidden="false" customHeight="false" outlineLevel="0" collapsed="false">
      <c r="B25" s="36" t="s">
        <v>217</v>
      </c>
      <c r="C25" s="37"/>
      <c r="D25" s="38"/>
      <c r="E25" s="24"/>
      <c r="F25" s="24"/>
      <c r="G25" s="24"/>
      <c r="H25" s="24"/>
      <c r="I25" s="39"/>
      <c r="J25" s="39"/>
      <c r="L25" s="42" t="s">
        <v>221</v>
      </c>
      <c r="M25" s="43" t="str">
        <f aca="false">IF($U$4=0,"",IF($U$65=1,"✓ erfüllt","✗ nicht erfüllt"))</f>
        <v/>
      </c>
      <c r="N25" s="36" t="str">
        <f aca="false">IF($U$4=0,"",$U$64&amp;" Punkte")</f>
        <v/>
      </c>
      <c r="T25" s="15" t="s">
        <v>218</v>
      </c>
      <c r="U25" s="15" t="n">
        <f aca="false">BX6+BX7+BX8+BX9+BX10</f>
        <v>0</v>
      </c>
      <c r="X25" s="15" t="n">
        <f aca="false">IF(OR(LEN(TRIM(C25))&gt;0,COUNT(E25:H25)&gt;0),1,0)</f>
        <v>0</v>
      </c>
      <c r="Y25" s="15" t="n">
        <f aca="false">IF(LEN(TRIM(D25))&gt;0,1,0)</f>
        <v>0</v>
      </c>
      <c r="Z25" s="15" t="n">
        <f aca="false">Y25*SUM(E25:H25)</f>
        <v>0</v>
      </c>
      <c r="AA25" s="15" t="n">
        <f aca="false">Y25*COUNT(E25:H25)</f>
        <v>0</v>
      </c>
      <c r="AB25" s="15" t="n">
        <f aca="false">Y25*COUNTIF(E25:H25,"&lt;5")</f>
        <v>0</v>
      </c>
      <c r="AC25" s="15" t="n">
        <f aca="false">Y25*COUNTIF(E25:H25,0)</f>
        <v>0</v>
      </c>
      <c r="AD25" s="15" t="n">
        <f aca="false">Y25*(SUM(E25:H25)+X25*$U$2*(4-COUNT(E25:H25)))</f>
        <v>0</v>
      </c>
      <c r="AE25" s="15" t="n">
        <f aca="false">Y25*(COUNT(E25:H25)+X25*(4-COUNT(E25:H25)))</f>
        <v>0</v>
      </c>
      <c r="AF25" s="15" t="n">
        <f aca="false">Y25*(COUNTIF(E25:H25,"&lt;5")+X25*IF($U$2&lt;5,1,0)*(4-COUNT(E25:H25)))</f>
        <v>0</v>
      </c>
      <c r="AH25" s="15" t="str">
        <f aca="false">IF(Y25=1,"",IF(ISNUMBER(E25),IF(E25=0,"",E25),""))</f>
        <v/>
      </c>
      <c r="AI25" s="15" t="str">
        <f aca="false">IF(Y25=1,"",IF(ISNUMBER(F25),IF(F25=0,"",F25),""))</f>
        <v/>
      </c>
      <c r="AJ25" s="15" t="str">
        <f aca="false">IF(Y25=1,"",IF(ISNUMBER(G25),IF(G25=0,"",G25),""))</f>
        <v/>
      </c>
      <c r="AK25" s="15" t="str">
        <f aca="false">IF(Y25=1,"",IF(ISNUMBER(H25),IF(H25=0,"",H25),""))</f>
        <v/>
      </c>
      <c r="AM25" s="15" t="str">
        <f aca="false">IF(Y25=1,"",IF(ISNUMBER(E25),IF(E25=0,"",E25),IF(X25=1,$U$2,"")))</f>
        <v/>
      </c>
      <c r="AN25" s="15" t="str">
        <f aca="false">IF(Y25=1,"",IF(ISNUMBER(F25),IF(F25=0,"",F25),IF(X25=1,$U$2,"")))</f>
        <v/>
      </c>
      <c r="AO25" s="15" t="str">
        <f aca="false">IF(Y25=1,"",IF(ISNUMBER(G25),IF(G25=0,"",G25),IF(X25=1,$U$2,"")))</f>
        <v/>
      </c>
      <c r="AP25" s="15" t="str">
        <f aca="false">IF(Y25=1,"",IF(ISNUMBER(H25),IF(H25=0,"",H25),IF(X25=1,$U$2,"")))</f>
        <v/>
      </c>
      <c r="AR25" s="15" t="n">
        <f aca="false">IF(Y25=1,IF(ISNUMBER(E25),1,0),IF(AH25="",0,IF(IF($U$35=1,COUNTIF($AH$6:$AK$25,"&gt;"&amp;AH25),COUNTIF($AM$6:$AP$25,"&gt;"&amp;AH25))+COUNTIF($AH$6:$AK$24,AH25)+1&lt;=$U$45,1,0)))</f>
        <v>0</v>
      </c>
      <c r="AS25" s="15" t="n">
        <f aca="false">IF(Y25=1,IF(ISNUMBER(F25),1,0),IF(AI25="",0,IF(IF($U$35=1,COUNTIF($AH$6:$AK$25,"&gt;"&amp;AI25),COUNTIF($AM$6:$AP$25,"&gt;"&amp;AI25))+COUNTIF($AH$6:$AK$24,AI25)+COUNTIF($AH25:AH25,AI25)+1&lt;=$U$45,1,0)))</f>
        <v>0</v>
      </c>
      <c r="AT25" s="15" t="n">
        <f aca="false">IF(Y25=1,IF(ISNUMBER(G25),1,0),IF(AJ25="",0,IF(IF($U$35=1,COUNTIF($AH$6:$AK$25,"&gt;"&amp;AJ25),COUNTIF($AM$6:$AP$25,"&gt;"&amp;AJ25))+COUNTIF($AH$6:$AK$24,AJ25)+COUNTIF($AH25:AI25,AJ25)+1&lt;=$U$45,1,0)))</f>
        <v>0</v>
      </c>
      <c r="AU25" s="15" t="n">
        <f aca="false">IF(Y25=1,IF(ISNUMBER(H25),1,0),IF(AK25="",0,IF(IF($U$35=1,COUNTIF($AH$6:$AK$25,"&gt;"&amp;AK25),COUNTIF($AM$6:$AP$25,"&gt;"&amp;AK25))+COUNTIF($AH$6:$AK$24,AK25)+COUNTIF($AH25:AJ25,AK25)+1&lt;=$U$45,1,0)))</f>
        <v>0</v>
      </c>
      <c r="BZ25" s="15" t="n">
        <f aca="false">IFERROR(LARGE($AH$6:$AK$25,24),0)</f>
        <v>0</v>
      </c>
      <c r="CA25" s="15" t="n">
        <f aca="false">CA24+BZ25</f>
        <v>0</v>
      </c>
      <c r="CB25" s="15" t="n">
        <f aca="false">IFERROR(LARGE($AM$6:$AP$25,24),0)</f>
        <v>0</v>
      </c>
      <c r="CC25" s="15" t="n">
        <f aca="false">CC24+CB25</f>
        <v>0</v>
      </c>
    </row>
    <row r="26" customFormat="false" ht="15" hidden="false" customHeight="false" outlineLevel="0" collapsed="false">
      <c r="T26" s="15" t="s">
        <v>220</v>
      </c>
      <c r="U26" s="15" t="n">
        <f aca="false">3</f>
        <v>3</v>
      </c>
      <c r="BZ26" s="15" t="n">
        <f aca="false">IFERROR(LARGE($AH$6:$AK$25,25),0)</f>
        <v>0</v>
      </c>
      <c r="CA26" s="15" t="n">
        <f aca="false">CA25+BZ26</f>
        <v>0</v>
      </c>
      <c r="CB26" s="15" t="n">
        <f aca="false">IFERROR(LARGE($AM$6:$AP$25,25),0)</f>
        <v>0</v>
      </c>
      <c r="CC26" s="15" t="n">
        <f aca="false">CC25+CB26</f>
        <v>0</v>
      </c>
    </row>
    <row r="27" customFormat="false" ht="15" hidden="false" customHeight="false" outlineLevel="0" collapsed="false">
      <c r="L27" s="44" t="s">
        <v>226</v>
      </c>
      <c r="T27" s="15" t="s">
        <v>222</v>
      </c>
      <c r="U27" s="15" t="n">
        <f aca="false">IF(ISNUMBER($I$6),0,1)+IF(ISNUMBER($I$7),0,1)+IF(ISNUMBER($I$8),0,1)+IF(ISNUMBER($I$9),0,1)+IF(ISNUMBER($I$10),0,1)</f>
        <v>5</v>
      </c>
      <c r="BZ27" s="15" t="n">
        <f aca="false">IFERROR(LARGE($AH$6:$AK$25,26),0)</f>
        <v>0</v>
      </c>
      <c r="CA27" s="15" t="n">
        <f aca="false">CA26+BZ27</f>
        <v>0</v>
      </c>
      <c r="CB27" s="15" t="n">
        <f aca="false">IFERROR(LARGE($AM$6:$AP$25,26),0)</f>
        <v>0</v>
      </c>
      <c r="CC27" s="15" t="n">
        <f aca="false">CC26+CB27</f>
        <v>0</v>
      </c>
    </row>
    <row r="28" customFormat="false" ht="15" hidden="false" customHeight="false" outlineLevel="0" collapsed="false">
      <c r="B28" s="5" t="s">
        <v>501</v>
      </c>
      <c r="L28" s="8" t="s">
        <v>229</v>
      </c>
      <c r="T28" s="15" t="s">
        <v>224</v>
      </c>
      <c r="U28" s="15" t="n">
        <f aca="false">IF($U$16&gt;=100,1,0)</f>
        <v>0</v>
      </c>
      <c r="BZ28" s="15" t="n">
        <f aca="false">IFERROR(LARGE($AH$6:$AK$25,27),0)</f>
        <v>0</v>
      </c>
      <c r="CA28" s="15" t="n">
        <f aca="false">CA27+BZ28</f>
        <v>0</v>
      </c>
      <c r="CB28" s="15" t="n">
        <f aca="false">IFERROR(LARGE($AM$6:$AP$25,27),0)</f>
        <v>0</v>
      </c>
      <c r="CC28" s="15" t="n">
        <f aca="false">CC27+CB28</f>
        <v>0</v>
      </c>
    </row>
    <row r="29" customFormat="false" ht="15" hidden="false" customHeight="false" outlineLevel="0" collapsed="false">
      <c r="B29" s="12" t="s">
        <v>502</v>
      </c>
      <c r="L29" s="45" t="s">
        <v>232</v>
      </c>
      <c r="T29" s="15" t="s">
        <v>227</v>
      </c>
      <c r="U29" s="15" t="n">
        <f aca="false">IF(AND($U$17&gt;=$U$26,$U$18&gt;=0),1,0)</f>
        <v>0</v>
      </c>
      <c r="BZ29" s="15" t="n">
        <f aca="false">IFERROR(LARGE($AH$6:$AK$25,28),0)</f>
        <v>0</v>
      </c>
      <c r="CA29" s="15" t="n">
        <f aca="false">CA28+BZ29</f>
        <v>0</v>
      </c>
      <c r="CB29" s="15" t="n">
        <f aca="false">IFERROR(LARGE($AM$6:$AP$25,28),0)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">
        <v>503</v>
      </c>
      <c r="L30" s="46" t="s">
        <v>235</v>
      </c>
      <c r="T30" s="15" t="s">
        <v>233</v>
      </c>
      <c r="U30" s="15" t="n">
        <f aca="false">$U$28*$U$29</f>
        <v>0</v>
      </c>
      <c r="BZ30" s="15" t="n">
        <f aca="false">IFERROR(LARGE($AH$6:$AK$25,29),0)</f>
        <v>0</v>
      </c>
      <c r="CA30" s="15" t="n">
        <f aca="false">CA29+BZ30</f>
        <v>0</v>
      </c>
      <c r="CB30" s="15" t="n">
        <f aca="false">IFERROR(LARGE($AM$6:$AP$25,29),0)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504</v>
      </c>
      <c r="L31" s="47" t="s">
        <v>238</v>
      </c>
      <c r="T31" s="15" t="s">
        <v>236</v>
      </c>
      <c r="U31" s="15" t="n">
        <f aca="false">IF($U$21&gt;=100,1,0)</f>
        <v>1</v>
      </c>
      <c r="BZ31" s="15" t="n">
        <f aca="false">IFERROR(LARGE($AH$6:$AK$25,30),0)</f>
        <v>0</v>
      </c>
      <c r="CA31" s="15" t="n">
        <f aca="false">CA30+BZ31</f>
        <v>0</v>
      </c>
      <c r="CB31" s="15" t="n">
        <f aca="false">IFERROR(LARGE($AM$6:$AP$25,30),0)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505</v>
      </c>
      <c r="T32" s="15" t="s">
        <v>239</v>
      </c>
      <c r="U32" s="15" t="n">
        <f aca="false">IF(AND($U$22&gt;=$U$26,$U$23&gt;=0),1,0)</f>
        <v>1</v>
      </c>
      <c r="BZ32" s="15" t="n">
        <f aca="false">IFERROR(LARGE($AH$6:$AK$25,31),0)</f>
        <v>0</v>
      </c>
      <c r="CA32" s="15" t="n">
        <f aca="false">CA31+BZ32</f>
        <v>0</v>
      </c>
      <c r="CB32" s="15" t="n">
        <f aca="false">IFERROR(LARGE($AM$6:$AP$25,31),0)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409</v>
      </c>
      <c r="L33" s="48" t="s">
        <v>242</v>
      </c>
      <c r="T33" s="15" t="s">
        <v>243</v>
      </c>
      <c r="U33" s="15" t="n">
        <f aca="false">$U$31*$U$32</f>
        <v>1</v>
      </c>
      <c r="BZ33" s="15" t="n">
        <f aca="false">IFERROR(LARGE($AH$6:$AK$25,32),0)</f>
        <v>0</v>
      </c>
      <c r="CA33" s="15" t="n">
        <f aca="false">CA32+BZ33</f>
        <v>0</v>
      </c>
      <c r="CB33" s="15" t="n">
        <f aca="false">IFERROR(LARGE($AM$6:$AP$25,32),0)</f>
        <v>0</v>
      </c>
      <c r="CC33" s="15" t="n">
        <f aca="false">CC32+CB33</f>
        <v>0</v>
      </c>
    </row>
    <row r="34" customFormat="false" ht="15" hidden="false" customHeight="false" outlineLevel="0" collapsed="false">
      <c r="L34" s="48" t="s">
        <v>245</v>
      </c>
      <c r="T34" s="15" t="s">
        <v>246</v>
      </c>
      <c r="U34" s="15" t="n">
        <f aca="false">INDEX($DG$3:$DG$3,$U$13)+$U$27</f>
        <v>41</v>
      </c>
      <c r="BZ34" s="15" t="n">
        <f aca="false">IFERROR(LARGE($AH$6:$AK$25,33),0)</f>
        <v>0</v>
      </c>
      <c r="CA34" s="15" t="n">
        <f aca="false">CA33+BZ34</f>
        <v>0</v>
      </c>
      <c r="CB34" s="15" t="n">
        <f aca="false">IFERROR(LARGE($AM$6:$AP$25,33),0)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8" t="s">
        <v>506</v>
      </c>
      <c r="T35" s="15" t="s">
        <v>247</v>
      </c>
      <c r="U35" s="15" t="n">
        <f aca="false">IF($U$34=0,1,0)</f>
        <v>0</v>
      </c>
      <c r="BZ35" s="15" t="n">
        <f aca="false">IFERROR(LARGE($AH$6:$AK$25,34),0)</f>
        <v>0</v>
      </c>
      <c r="CA35" s="15" t="n">
        <f aca="false">CA34+BZ35</f>
        <v>0</v>
      </c>
      <c r="CB35" s="15" t="n">
        <f aca="false">IFERROR(LARGE($AM$6:$AP$25,34),0)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49" t="s">
        <v>507</v>
      </c>
      <c r="T36" s="15" t="s">
        <v>249</v>
      </c>
      <c r="U36" s="15" t="n">
        <f aca="false">IF($U$35=1,INDEX($CQ$3:$CQ$3,$U$13),INDEX($CQ$23:$CQ$23,$U$14))</f>
        <v>280</v>
      </c>
      <c r="BZ36" s="15" t="n">
        <f aca="false">IFERROR(LARGE($AH$6:$AK$25,35),0)</f>
        <v>0</v>
      </c>
      <c r="CA36" s="15" t="n">
        <f aca="false">CA35+BZ36</f>
        <v>0</v>
      </c>
      <c r="CB36" s="15" t="n">
        <f aca="false">IFERROR(LARGE($AM$6:$AP$25,35),0)</f>
        <v>0</v>
      </c>
      <c r="CC36" s="15" t="n">
        <f aca="false">CC35+CB36</f>
        <v>0</v>
      </c>
    </row>
    <row r="37" customFormat="false" ht="15" hidden="false" customHeight="false" outlineLevel="0" collapsed="false">
      <c r="T37" s="15" t="s">
        <v>251</v>
      </c>
      <c r="U37" s="15" t="n">
        <f aca="false">IF($U$35=1,INDEX($CK$3:$CK$3,$U$13),INDEX($CK$23:$CK$23,$U$14))</f>
        <v>36</v>
      </c>
      <c r="BZ37" s="15" t="n">
        <f aca="false">IFERROR(LARGE($AH$6:$AK$25,36),0)</f>
        <v>0</v>
      </c>
      <c r="CA37" s="15" t="n">
        <f aca="false">CA36+BZ37</f>
        <v>0</v>
      </c>
      <c r="CB37" s="15" t="n">
        <f aca="false">IFERROR(LARGE($AM$6:$AP$25,36),0)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0" t="s">
        <v>508</v>
      </c>
      <c r="T38" s="15" t="s">
        <v>252</v>
      </c>
      <c r="U38" s="15" t="n">
        <f aca="false">IF($U$35=1,INDEX($CR$3:$CR$3,$U$13),INDEX($CR$23:$CR$23,$U$14))</f>
        <v>0</v>
      </c>
      <c r="BZ38" s="15" t="n">
        <f aca="false">IFERROR(LARGE($AH$6:$AK$25,37),0)</f>
        <v>0</v>
      </c>
      <c r="CA38" s="15" t="n">
        <f aca="false">CA37+BZ38</f>
        <v>0</v>
      </c>
      <c r="CB38" s="15" t="n">
        <f aca="false">IFERROR(LARGE($AM$6:$AP$25,37),0)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1" t="s">
        <v>250</v>
      </c>
      <c r="T39" s="15" t="s">
        <v>253</v>
      </c>
      <c r="U39" s="15" t="n">
        <f aca="false">IF($U$35=1,INDEX($CS$3:$CS$3,$U$13),INDEX($CS$23:$CS$23,$U$14))</f>
        <v>7</v>
      </c>
      <c r="BZ39" s="15" t="n">
        <f aca="false">IFERROR(LARGE($AH$6:$AK$25,38),0)</f>
        <v>0</v>
      </c>
      <c r="CA39" s="15" t="n">
        <f aca="false">CA38+BZ39</f>
        <v>0</v>
      </c>
      <c r="CB39" s="15" t="n">
        <f aca="false">IFERROR(LARGE($AM$6:$AP$25,38),0)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254</v>
      </c>
      <c r="U40" s="15" t="n">
        <f aca="false">IF($U$35=1,INDEX($CT$3:$CT$3,$U$13),INDEX($CT$23:$CT$23,$U$14))</f>
        <v>0</v>
      </c>
      <c r="BZ40" s="15" t="n">
        <f aca="false">IFERROR(LARGE($AH$6:$AK$25,39),0)</f>
        <v>0</v>
      </c>
      <c r="CA40" s="15" t="n">
        <f aca="false">CA39+BZ40</f>
        <v>0</v>
      </c>
      <c r="CB40" s="15" t="n">
        <f aca="false">IFERROR(LARGE($AM$6:$AP$25,39),0)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255</v>
      </c>
      <c r="U41" s="15" t="n">
        <f aca="false">IF($U$35=1,INDEX($CL$3:$CL$3,$U$13),INDEX($CL$23:$CL$23,$U$14))</f>
        <v>84</v>
      </c>
      <c r="BZ41" s="15" t="n">
        <f aca="false">IFERROR(LARGE($AH$6:$AK$25,40),0)</f>
        <v>0</v>
      </c>
      <c r="CA41" s="15" t="n">
        <f aca="false">CA40+BZ41</f>
        <v>0</v>
      </c>
      <c r="CB41" s="15" t="n">
        <f aca="false">IFERROR(LARGE($AM$6:$AP$25,40),0)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256</v>
      </c>
      <c r="U42" s="15" t="n">
        <f aca="false">IF($U$35=1,INDEX($CU$3:$CU$3,$U$13),INDEX($CU$23:$CU$23,$U$14))</f>
        <v>168</v>
      </c>
      <c r="BZ42" s="15" t="n">
        <f aca="false">IFERROR(LARGE($AH$6:$AK$25,41),0)</f>
        <v>0</v>
      </c>
      <c r="CA42" s="15" t="n">
        <f aca="false">CA41+BZ42</f>
        <v>0</v>
      </c>
      <c r="CB42" s="15" t="n">
        <f aca="false">IFERROR(LARGE($AM$6:$AP$25,41),0)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257</v>
      </c>
      <c r="U43" s="15" t="n">
        <f aca="false">IF($U$35=1,INDEX($CP$3:$CP$3,$U$13),INDEX($CP$23:$CP$23,$U$14))</f>
        <v>36</v>
      </c>
      <c r="BZ43" s="15" t="n">
        <f aca="false">IFERROR(LARGE($AH$6:$AK$25,42),0)</f>
        <v>0</v>
      </c>
      <c r="CA43" s="15" t="n">
        <f aca="false">CA42+BZ43</f>
        <v>0</v>
      </c>
      <c r="CB43" s="15" t="n">
        <f aca="false">IFERROR(LARGE($AM$6:$AP$25,42),0)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258</v>
      </c>
      <c r="U44" s="15" t="n">
        <f aca="false">IF($U$35=1,INDEX($CO$3:$CO$3,$U$13),INDEX($CO$23:$CO$23,$U$14))</f>
        <v>252</v>
      </c>
      <c r="BZ44" s="15" t="n">
        <f aca="false">IFERROR(LARGE($AH$6:$AK$25,43),0)</f>
        <v>0</v>
      </c>
      <c r="CA44" s="15" t="n">
        <f aca="false">CA43+BZ44</f>
        <v>0</v>
      </c>
      <c r="CB44" s="15" t="n">
        <f aca="false">IFERROR(LARGE($AM$6:$AP$25,43),0)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259</v>
      </c>
      <c r="U45" s="15" t="n">
        <f aca="false">IF($U$35=1,INDEX($CH$3:$CH$3,$U$13),INDEX($CH$23:$CH$23,$U$14))</f>
        <v>0</v>
      </c>
      <c r="BZ45" s="15" t="n">
        <f aca="false">IFERROR(LARGE($AH$6:$AK$25,44),0)</f>
        <v>0</v>
      </c>
      <c r="CA45" s="15" t="n">
        <f aca="false">CA44+BZ45</f>
        <v>0</v>
      </c>
      <c r="CB45" s="15" t="n">
        <f aca="false">IFERROR(LARGE($AM$6:$AP$25,44),0)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260</v>
      </c>
      <c r="U46" s="15" t="n">
        <f aca="false">IF($U$35=1,INDEX($DF$3:$DF$3,$U$13),INDEX($DF$23:$DF$23,$U$14))</f>
        <v>1</v>
      </c>
      <c r="BZ46" s="15" t="n">
        <f aca="false">IFERROR(LARGE($AH$6:$AK$25,45),0)</f>
        <v>0</v>
      </c>
      <c r="CA46" s="15" t="n">
        <f aca="false">CA45+BZ46</f>
        <v>0</v>
      </c>
      <c r="CB46" s="15" t="n">
        <f aca="false">IFERROR(LARGE($AM$6:$AP$25,45),0)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261</v>
      </c>
      <c r="U47" s="15" t="n">
        <f aca="false">IF($U$35=1,INDEX($CV$3:$CV$3,$U$13),INDEX($CV$23:$CV$23,$U$14))</f>
        <v>1</v>
      </c>
      <c r="BZ47" s="15" t="n">
        <f aca="false">IFERROR(LARGE($AH$6:$AK$25,46),0)</f>
        <v>0</v>
      </c>
      <c r="CA47" s="15" t="n">
        <f aca="false">CA46+BZ47</f>
        <v>0</v>
      </c>
      <c r="CB47" s="15" t="n">
        <f aca="false">IFERROR(LARGE($AM$6:$AP$25,46),0)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262</v>
      </c>
      <c r="U48" s="15" t="n">
        <f aca="false">IF($U$35=1,INDEX($CW$3:$CW$3,$U$13),INDEX($CW$23:$CW$23,$U$14))</f>
        <v>1</v>
      </c>
      <c r="BZ48" s="15" t="n">
        <f aca="false">IFERROR(LARGE($AH$6:$AK$25,47),0)</f>
        <v>0</v>
      </c>
      <c r="CA48" s="15" t="n">
        <f aca="false">CA47+BZ48</f>
        <v>0</v>
      </c>
      <c r="CB48" s="15" t="n">
        <f aca="false">IFERROR(LARGE($AM$6:$AP$25,47),0)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263</v>
      </c>
      <c r="U49" s="15" t="n">
        <f aca="false">IF($U$35=1,INDEX($CX$3:$CX$3,$U$13),INDEX($CX$23:$CX$23,$U$14))</f>
        <v>1</v>
      </c>
      <c r="BZ49" s="15" t="n">
        <f aca="false">IFERROR(LARGE($AH$6:$AK$25,48),0)</f>
        <v>0</v>
      </c>
      <c r="CA49" s="15" t="n">
        <f aca="false">CA48+BZ49</f>
        <v>0</v>
      </c>
      <c r="CB49" s="15" t="n">
        <f aca="false">IFERROR(LARGE($AM$6:$AP$25,48),0)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264</v>
      </c>
      <c r="U50" s="15" t="n">
        <f aca="false">IF($U$35=1,INDEX($CY$3:$CY$3,$U$13),INDEX($CY$23:$CY$23,$U$14))</f>
        <v>1</v>
      </c>
      <c r="BZ50" s="15" t="n">
        <f aca="false">IFERROR(LARGE($AH$6:$AK$25,49),0)</f>
        <v>0</v>
      </c>
      <c r="CA50" s="15" t="n">
        <f aca="false">CA49+BZ50</f>
        <v>0</v>
      </c>
      <c r="CB50" s="15" t="n">
        <f aca="false">IFERROR(LARGE($AM$6:$AP$25,49),0)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265</v>
      </c>
      <c r="U51" s="15" t="n">
        <f aca="false">IF($U$35=1,INDEX($CZ$3:$CZ$3,$U$13),INDEX($CZ$23:$CZ$23,$U$14))</f>
        <v>1</v>
      </c>
      <c r="BZ51" s="15" t="n">
        <f aca="false">IFERROR(LARGE($AH$6:$AK$25,50),0)</f>
        <v>0</v>
      </c>
      <c r="CA51" s="15" t="n">
        <f aca="false">CA50+BZ51</f>
        <v>0</v>
      </c>
      <c r="CB51" s="15" t="n">
        <f aca="false">IFERROR(LARGE($AM$6:$AP$25,50),0)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266</v>
      </c>
      <c r="U52" s="15" t="n">
        <f aca="false">IF($U$35=1,INDEX($DA$3:$DA$3,$U$13),INDEX($DA$23:$DA$23,$U$14))</f>
        <v>1</v>
      </c>
      <c r="BZ52" s="15" t="n">
        <f aca="false">IFERROR(LARGE($AH$6:$AK$25,51),0)</f>
        <v>0</v>
      </c>
      <c r="CA52" s="15" t="n">
        <f aca="false">CA51+BZ52</f>
        <v>0</v>
      </c>
      <c r="CB52" s="15" t="n">
        <f aca="false">IFERROR(LARGE($AM$6:$AP$25,51),0)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267</v>
      </c>
      <c r="U53" s="15" t="n">
        <f aca="false">IF($U$35=1,INDEX($DB$3:$DB$3,$U$13),INDEX($DB$23:$DB$23,$U$14))</f>
        <v>1</v>
      </c>
      <c r="BZ53" s="15" t="n">
        <f aca="false">IFERROR(LARGE($AH$6:$AK$25,52),0)</f>
        <v>0</v>
      </c>
      <c r="CA53" s="15" t="n">
        <f aca="false">CA52+BZ53</f>
        <v>0</v>
      </c>
      <c r="CB53" s="15" t="n">
        <f aca="false">IFERROR(LARGE($AM$6:$AP$25,52),0)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268</v>
      </c>
      <c r="U54" s="15" t="n">
        <f aca="false">IF($U$35=1,INDEX($DC$3:$DC$3,$U$13),INDEX($DC$23:$DC$23,$U$14))</f>
        <v>1</v>
      </c>
      <c r="BZ54" s="15" t="n">
        <f aca="false">IFERROR(LARGE($AH$6:$AK$25,53),0)</f>
        <v>0</v>
      </c>
      <c r="CA54" s="15" t="n">
        <f aca="false">CA53+BZ54</f>
        <v>0</v>
      </c>
      <c r="CB54" s="15" t="n">
        <f aca="false">IFERROR(LARGE($AM$6:$AP$25,53),0)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269</v>
      </c>
      <c r="U55" s="15" t="n">
        <f aca="false">IF($U$35=1,INDEX($DD$3:$DD$3,$U$13),INDEX($DD$23:$DD$23,$U$14))</f>
        <v>1</v>
      </c>
      <c r="BZ55" s="15" t="n">
        <f aca="false">IFERROR(LARGE($AH$6:$AK$25,54),0)</f>
        <v>0</v>
      </c>
      <c r="CA55" s="15" t="n">
        <f aca="false">CA54+BZ55</f>
        <v>0</v>
      </c>
      <c r="CB55" s="15" t="n">
        <f aca="false">IFERROR(LARGE($AM$6:$AP$25,54),0)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270</v>
      </c>
      <c r="U56" s="15" t="n">
        <f aca="false">IF($U$35=1,INDEX($DE$3:$DE$3,$U$13),INDEX($DE$23:$DE$23,$U$14))</f>
        <v>1</v>
      </c>
      <c r="BZ56" s="15" t="n">
        <f aca="false">IFERROR(LARGE($AH$6:$AK$25,55),0)</f>
        <v>0</v>
      </c>
      <c r="CA56" s="15" t="n">
        <f aca="false">CA55+BZ56</f>
        <v>0</v>
      </c>
      <c r="CB56" s="15" t="n">
        <f aca="false">IFERROR(LARGE($AM$6:$AP$25,55),0)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271</v>
      </c>
      <c r="U57" s="15" t="n">
        <f aca="false">IF($U$35=1,$U$13,$U$14)</f>
        <v>1</v>
      </c>
      <c r="BZ57" s="15" t="n">
        <f aca="false">IFERROR(LARGE($AH$6:$AK$25,56),0)</f>
        <v>0</v>
      </c>
      <c r="CA57" s="15" t="n">
        <f aca="false">CA56+BZ57</f>
        <v>0</v>
      </c>
      <c r="CB57" s="15" t="n">
        <f aca="false">IFERROR(LARGE($AM$6:$AP$25,56),0)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272</v>
      </c>
      <c r="U58" s="15" t="n">
        <f aca="false">IF($U$35=1,$U$9,$V$9)</f>
        <v>0</v>
      </c>
    </row>
    <row r="59" customFormat="false" ht="15" hidden="false" customHeight="false" outlineLevel="0" collapsed="false">
      <c r="T59" s="15" t="s">
        <v>273</v>
      </c>
      <c r="U59" s="15" t="n">
        <f aca="false">IF($U$35=1,$U$16,$U$21)</f>
        <v>140</v>
      </c>
    </row>
    <row r="60" customFormat="false" ht="15" hidden="false" customHeight="false" outlineLevel="0" collapsed="false">
      <c r="T60" s="15" t="s">
        <v>274</v>
      </c>
      <c r="U60" s="15" t="n">
        <f aca="false">IF($U$35=1,$U$17,$U$22)</f>
        <v>5</v>
      </c>
    </row>
    <row r="61" customFormat="false" ht="15" hidden="false" customHeight="false" outlineLevel="0" collapsed="false">
      <c r="T61" s="15" t="s">
        <v>275</v>
      </c>
      <c r="U61" s="15" t="n">
        <f aca="false">IF($U$35=1,$U$28,$U$31)</f>
        <v>1</v>
      </c>
    </row>
    <row r="62" customFormat="false" ht="15" hidden="false" customHeight="false" outlineLevel="0" collapsed="false">
      <c r="T62" s="15" t="s">
        <v>276</v>
      </c>
      <c r="U62" s="15" t="n">
        <f aca="false">IF($U$35=1,$U$29,$U$32)</f>
        <v>1</v>
      </c>
    </row>
    <row r="63" customFormat="false" ht="15" hidden="false" customHeight="false" outlineLevel="0" collapsed="false">
      <c r="T63" s="15" t="s">
        <v>278</v>
      </c>
      <c r="U63" s="15" t="n">
        <f aca="false">IF($U$35=1,$U$30,$U$33)</f>
        <v>1</v>
      </c>
    </row>
    <row r="64" customFormat="false" ht="15" hidden="false" customHeight="false" outlineLevel="0" collapsed="false">
      <c r="T64" s="15" t="s">
        <v>188</v>
      </c>
      <c r="U64" s="15" t="n">
        <f aca="false">$U$36+$U$59</f>
        <v>420</v>
      </c>
    </row>
    <row r="65" customFormat="false" ht="15" hidden="false" customHeight="false" outlineLevel="0" collapsed="false">
      <c r="T65" s="15" t="s">
        <v>279</v>
      </c>
      <c r="U65" s="15" t="n">
        <f aca="false">IF($U$64&gt;=300,1,0)</f>
        <v>1</v>
      </c>
    </row>
    <row r="66" customFormat="false" ht="15" hidden="false" customHeight="false" outlineLevel="0" collapsed="false">
      <c r="T66" s="15" t="s">
        <v>280</v>
      </c>
      <c r="U66" s="15" t="n">
        <f aca="false">IF($U$46*$U$63*$U$65=1,1,0)</f>
        <v>1</v>
      </c>
    </row>
    <row r="67" customFormat="false" ht="15" hidden="false" customHeight="false" outlineLevel="0" collapsed="false">
      <c r="T67" s="15" t="s">
        <v>281</v>
      </c>
      <c r="U67" s="15" t="n">
        <f aca="false">IF($U$64&lt;300,"",MAX(10,MIN(40,INT((1020-$U$64)/18))))</f>
        <v>33</v>
      </c>
    </row>
    <row r="68" customFormat="false" ht="15" hidden="false" customHeight="false" outlineLevel="0" collapsed="false">
      <c r="T68" s="15" t="s">
        <v>282</v>
      </c>
      <c r="U68" s="15" t="n">
        <f aca="false">IF($U$67="",MAX(0,300-$U$64),IF($U$67&gt;10,1021-18*$U$67-$U$64,""))</f>
        <v>7</v>
      </c>
    </row>
    <row r="69" customFormat="false" ht="15" hidden="false" customHeight="false" outlineLevel="0" collapsed="false">
      <c r="T69" s="15" t="s">
        <v>283</v>
      </c>
      <c r="U69" s="15" t="n">
        <f aca="false">IF($U$67="","",$U$64-IF($U$67&gt;=40,300,1020-18*($U$67+1)+1))</f>
        <v>11</v>
      </c>
    </row>
  </sheetData>
  <sheetProtection sheet="true" formatCells="false" formatColumns="false" formatRows="false"/>
  <mergeCells count="1">
    <mergeCell ref="M6:N6"/>
  </mergeCells>
  <conditionalFormatting sqref="E6:H25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10">
    <cfRule type="expression" priority="5" aboveAverage="0" equalAverage="0" bottom="0" percent="0" rank="0" text="" dxfId="3">
      <formula>AND(ISNUMBER(I6),I6&lt;5)</formula>
    </cfRule>
  </conditionalFormatting>
  <conditionalFormatting sqref="M19:M25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2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8 E9:I10 E12:H25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2:D25" type="list">
      <formula1>"x"</formula1>
      <formula2>0</formula2>
    </dataValidation>
  </dataValidations>
  <hyperlinks>
    <hyperlink ref="B36" r:id="rId2" display="https://landesrecht.thueringen.de/perma?d=jlr-NNLTH0000384E"/>
    <hyperlink ref="B38" r:id="rId3" display="Online-Rechner Thüringen mit Statistik und PDF-Download: https://www.abi-rechner.com/bundeslander/thuringen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Thüringen · abi-rechner.com · Stand September 2026</oddFooter>
  </headerFooter>
  <legacy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4" min="3" style="0" width="14"/>
    <col collapsed="false" customWidth="true" hidden="false" outlineLevel="0" max="5" min="5" style="0" width="4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17.35" hidden="false" customHeight="false" outlineLevel="0" collapsed="false">
      <c r="B1" s="55" t="s">
        <v>509</v>
      </c>
    </row>
    <row r="2" customFormat="false" ht="15" hidden="false" customHeight="false" outlineLevel="0" collapsed="false">
      <c r="B2" s="2" t="s">
        <v>510</v>
      </c>
    </row>
    <row r="4" customFormat="false" ht="15" hidden="false" customHeight="false" outlineLevel="0" collapsed="false">
      <c r="B4" s="41" t="s">
        <v>165</v>
      </c>
      <c r="C4" s="41" t="s">
        <v>511</v>
      </c>
      <c r="D4" s="41" t="s">
        <v>512</v>
      </c>
      <c r="F4" s="41" t="s">
        <v>513</v>
      </c>
      <c r="G4" s="41" t="s">
        <v>514</v>
      </c>
      <c r="H4" s="6" t="s">
        <v>515</v>
      </c>
    </row>
    <row r="5" customFormat="false" ht="15" hidden="false" customHeight="false" outlineLevel="0" collapsed="false">
      <c r="B5" s="56" t="n">
        <f aca="false">10/10</f>
        <v>1</v>
      </c>
      <c r="C5" s="10" t="n">
        <f aca="false">IF((B5*10)=40,300,1020-18*((B5*10)+1)+1)</f>
        <v>823</v>
      </c>
      <c r="D5" s="10" t="n">
        <f aca="false">IF((B5*10)=10,900,1020-18*(B5*10))</f>
        <v>900</v>
      </c>
      <c r="F5" s="57" t="n">
        <v>15</v>
      </c>
      <c r="G5" s="10" t="s">
        <v>516</v>
      </c>
      <c r="H5" s="11" t="s">
        <v>517</v>
      </c>
    </row>
    <row r="6" customFormat="false" ht="15" hidden="false" customHeight="false" outlineLevel="0" collapsed="false">
      <c r="B6" s="56" t="n">
        <f aca="false">11/10</f>
        <v>1.1</v>
      </c>
      <c r="C6" s="10" t="n">
        <f aca="false">IF((B6*10)=40,300,1020-18*((B6*10)+1)+1)</f>
        <v>805</v>
      </c>
      <c r="D6" s="10" t="n">
        <f aca="false">IF((B6*10)=10,900,1020-18*(B6*10))</f>
        <v>822</v>
      </c>
      <c r="F6" s="57" t="n">
        <v>14</v>
      </c>
      <c r="G6" s="10" t="s">
        <v>518</v>
      </c>
      <c r="H6" s="11" t="s">
        <v>517</v>
      </c>
    </row>
    <row r="7" customFormat="false" ht="15" hidden="false" customHeight="false" outlineLevel="0" collapsed="false">
      <c r="B7" s="56" t="n">
        <f aca="false">12/10</f>
        <v>1.2</v>
      </c>
      <c r="C7" s="10" t="n">
        <f aca="false">IF((B7*10)=40,300,1020-18*((B7*10)+1)+1)</f>
        <v>787</v>
      </c>
      <c r="D7" s="10" t="n">
        <f aca="false">IF((B7*10)=10,900,1020-18*(B7*10))</f>
        <v>804</v>
      </c>
      <c r="F7" s="57" t="n">
        <v>13</v>
      </c>
      <c r="G7" s="10" t="s">
        <v>519</v>
      </c>
      <c r="H7" s="11" t="s">
        <v>517</v>
      </c>
    </row>
    <row r="8" customFormat="false" ht="15" hidden="false" customHeight="false" outlineLevel="0" collapsed="false">
      <c r="B8" s="56" t="n">
        <f aca="false">13/10</f>
        <v>1.3</v>
      </c>
      <c r="C8" s="10" t="n">
        <f aca="false">IF((B8*10)=40,300,1020-18*((B8*10)+1)+1)</f>
        <v>769</v>
      </c>
      <c r="D8" s="10" t="n">
        <f aca="false">IF((B8*10)=10,900,1020-18*(B8*10))</f>
        <v>786</v>
      </c>
      <c r="F8" s="57" t="n">
        <v>12</v>
      </c>
      <c r="G8" s="10" t="s">
        <v>520</v>
      </c>
      <c r="H8" s="11" t="s">
        <v>521</v>
      </c>
    </row>
    <row r="9" customFormat="false" ht="15" hidden="false" customHeight="false" outlineLevel="0" collapsed="false">
      <c r="B9" s="56" t="n">
        <f aca="false">14/10</f>
        <v>1.4</v>
      </c>
      <c r="C9" s="10" t="n">
        <f aca="false">IF((B9*10)=40,300,1020-18*((B9*10)+1)+1)</f>
        <v>751</v>
      </c>
      <c r="D9" s="10" t="n">
        <f aca="false">IF((B9*10)=10,900,1020-18*(B9*10))</f>
        <v>768</v>
      </c>
      <c r="F9" s="57" t="n">
        <v>11</v>
      </c>
      <c r="G9" s="10" t="s">
        <v>522</v>
      </c>
      <c r="H9" s="11" t="s">
        <v>521</v>
      </c>
    </row>
    <row r="10" customFormat="false" ht="15" hidden="false" customHeight="false" outlineLevel="0" collapsed="false">
      <c r="B10" s="56" t="n">
        <f aca="false">15/10</f>
        <v>1.5</v>
      </c>
      <c r="C10" s="10" t="n">
        <f aca="false">IF((B10*10)=40,300,1020-18*((B10*10)+1)+1)</f>
        <v>733</v>
      </c>
      <c r="D10" s="10" t="n">
        <f aca="false">IF((B10*10)=10,900,1020-18*(B10*10))</f>
        <v>750</v>
      </c>
      <c r="F10" s="57" t="n">
        <v>10</v>
      </c>
      <c r="G10" s="10" t="s">
        <v>523</v>
      </c>
      <c r="H10" s="11" t="s">
        <v>521</v>
      </c>
    </row>
    <row r="11" customFormat="false" ht="15" hidden="false" customHeight="false" outlineLevel="0" collapsed="false">
      <c r="B11" s="56" t="n">
        <f aca="false">16/10</f>
        <v>1.6</v>
      </c>
      <c r="C11" s="10" t="n">
        <f aca="false">IF((B11*10)=40,300,1020-18*((B11*10)+1)+1)</f>
        <v>715</v>
      </c>
      <c r="D11" s="10" t="n">
        <f aca="false">IF((B11*10)=10,900,1020-18*(B11*10))</f>
        <v>732</v>
      </c>
      <c r="F11" s="57" t="n">
        <v>9</v>
      </c>
      <c r="G11" s="10" t="s">
        <v>524</v>
      </c>
      <c r="H11" s="11" t="s">
        <v>525</v>
      </c>
    </row>
    <row r="12" customFormat="false" ht="15" hidden="false" customHeight="false" outlineLevel="0" collapsed="false">
      <c r="B12" s="56" t="n">
        <f aca="false">17/10</f>
        <v>1.7</v>
      </c>
      <c r="C12" s="10" t="n">
        <f aca="false">IF((B12*10)=40,300,1020-18*((B12*10)+1)+1)</f>
        <v>697</v>
      </c>
      <c r="D12" s="10" t="n">
        <f aca="false">IF((B12*10)=10,900,1020-18*(B12*10))</f>
        <v>714</v>
      </c>
      <c r="F12" s="57" t="n">
        <v>8</v>
      </c>
      <c r="G12" s="10" t="s">
        <v>526</v>
      </c>
      <c r="H12" s="11" t="s">
        <v>525</v>
      </c>
    </row>
    <row r="13" customFormat="false" ht="15" hidden="false" customHeight="false" outlineLevel="0" collapsed="false">
      <c r="B13" s="56" t="n">
        <f aca="false">18/10</f>
        <v>1.8</v>
      </c>
      <c r="C13" s="10" t="n">
        <f aca="false">IF((B13*10)=40,300,1020-18*((B13*10)+1)+1)</f>
        <v>679</v>
      </c>
      <c r="D13" s="10" t="n">
        <f aca="false">IF((B13*10)=10,900,1020-18*(B13*10))</f>
        <v>696</v>
      </c>
      <c r="F13" s="57" t="n">
        <v>7</v>
      </c>
      <c r="G13" s="10" t="s">
        <v>527</v>
      </c>
      <c r="H13" s="11" t="s">
        <v>525</v>
      </c>
    </row>
    <row r="14" customFormat="false" ht="15" hidden="false" customHeight="false" outlineLevel="0" collapsed="false">
      <c r="B14" s="56" t="n">
        <f aca="false">19/10</f>
        <v>1.9</v>
      </c>
      <c r="C14" s="10" t="n">
        <f aca="false">IF((B14*10)=40,300,1020-18*((B14*10)+1)+1)</f>
        <v>661</v>
      </c>
      <c r="D14" s="10" t="n">
        <f aca="false">IF((B14*10)=10,900,1020-18*(B14*10))</f>
        <v>678</v>
      </c>
      <c r="F14" s="57" t="n">
        <v>6</v>
      </c>
      <c r="G14" s="10" t="s">
        <v>528</v>
      </c>
      <c r="H14" s="11" t="s">
        <v>529</v>
      </c>
    </row>
    <row r="15" customFormat="false" ht="15" hidden="false" customHeight="false" outlineLevel="0" collapsed="false">
      <c r="B15" s="56" t="n">
        <f aca="false">20/10</f>
        <v>2</v>
      </c>
      <c r="C15" s="10" t="n">
        <f aca="false">IF((B15*10)=40,300,1020-18*((B15*10)+1)+1)</f>
        <v>643</v>
      </c>
      <c r="D15" s="10" t="n">
        <f aca="false">IF((B15*10)=10,900,1020-18*(B15*10))</f>
        <v>660</v>
      </c>
      <c r="F15" s="57" t="n">
        <v>5</v>
      </c>
      <c r="G15" s="10" t="s">
        <v>530</v>
      </c>
      <c r="H15" s="11" t="s">
        <v>529</v>
      </c>
    </row>
    <row r="16" customFormat="false" ht="15" hidden="false" customHeight="false" outlineLevel="0" collapsed="false">
      <c r="B16" s="56" t="n">
        <f aca="false">21/10</f>
        <v>2.1</v>
      </c>
      <c r="C16" s="10" t="n">
        <f aca="false">IF((B16*10)=40,300,1020-18*((B16*10)+1)+1)</f>
        <v>625</v>
      </c>
      <c r="D16" s="10" t="n">
        <f aca="false">IF((B16*10)=10,900,1020-18*(B16*10))</f>
        <v>642</v>
      </c>
      <c r="F16" s="57" t="n">
        <v>4</v>
      </c>
      <c r="G16" s="10" t="s">
        <v>531</v>
      </c>
      <c r="H16" s="11" t="s">
        <v>529</v>
      </c>
    </row>
    <row r="17" customFormat="false" ht="15" hidden="false" customHeight="false" outlineLevel="0" collapsed="false">
      <c r="B17" s="56" t="n">
        <f aca="false">22/10</f>
        <v>2.2</v>
      </c>
      <c r="C17" s="10" t="n">
        <f aca="false">IF((B17*10)=40,300,1020-18*((B17*10)+1)+1)</f>
        <v>607</v>
      </c>
      <c r="D17" s="10" t="n">
        <f aca="false">IF((B17*10)=10,900,1020-18*(B17*10))</f>
        <v>624</v>
      </c>
      <c r="F17" s="57" t="n">
        <v>3</v>
      </c>
      <c r="G17" s="10" t="s">
        <v>532</v>
      </c>
      <c r="H17" s="11" t="s">
        <v>533</v>
      </c>
    </row>
    <row r="18" customFormat="false" ht="15" hidden="false" customHeight="false" outlineLevel="0" collapsed="false">
      <c r="B18" s="56" t="n">
        <f aca="false">23/10</f>
        <v>2.3</v>
      </c>
      <c r="C18" s="10" t="n">
        <f aca="false">IF((B18*10)=40,300,1020-18*((B18*10)+1)+1)</f>
        <v>589</v>
      </c>
      <c r="D18" s="10" t="n">
        <f aca="false">IF((B18*10)=10,900,1020-18*(B18*10))</f>
        <v>606</v>
      </c>
      <c r="F18" s="57" t="n">
        <v>2</v>
      </c>
      <c r="G18" s="10" t="s">
        <v>24</v>
      </c>
      <c r="H18" s="11" t="s">
        <v>533</v>
      </c>
    </row>
    <row r="19" customFormat="false" ht="15" hidden="false" customHeight="false" outlineLevel="0" collapsed="false">
      <c r="B19" s="56" t="n">
        <f aca="false">24/10</f>
        <v>2.4</v>
      </c>
      <c r="C19" s="10" t="n">
        <f aca="false">IF((B19*10)=40,300,1020-18*((B19*10)+1)+1)</f>
        <v>571</v>
      </c>
      <c r="D19" s="10" t="n">
        <f aca="false">IF((B19*10)=10,900,1020-18*(B19*10))</f>
        <v>588</v>
      </c>
      <c r="F19" s="57" t="n">
        <v>1</v>
      </c>
      <c r="G19" s="10" t="s">
        <v>534</v>
      </c>
      <c r="H19" s="11" t="s">
        <v>533</v>
      </c>
    </row>
    <row r="20" customFormat="false" ht="15" hidden="false" customHeight="false" outlineLevel="0" collapsed="false">
      <c r="B20" s="56" t="n">
        <f aca="false">25/10</f>
        <v>2.5</v>
      </c>
      <c r="C20" s="10" t="n">
        <f aca="false">IF((B20*10)=40,300,1020-18*((B20*10)+1)+1)</f>
        <v>553</v>
      </c>
      <c r="D20" s="10" t="n">
        <f aca="false">IF((B20*10)=10,900,1020-18*(B20*10))</f>
        <v>570</v>
      </c>
      <c r="F20" s="57" t="n">
        <v>0</v>
      </c>
      <c r="G20" s="10" t="s">
        <v>535</v>
      </c>
      <c r="H20" s="11" t="s">
        <v>536</v>
      </c>
    </row>
    <row r="21" customFormat="false" ht="15" hidden="false" customHeight="false" outlineLevel="0" collapsed="false">
      <c r="B21" s="56" t="n">
        <f aca="false">26/10</f>
        <v>2.6</v>
      </c>
      <c r="C21" s="10" t="n">
        <f aca="false">IF((B21*10)=40,300,1020-18*((B21*10)+1)+1)</f>
        <v>535</v>
      </c>
      <c r="D21" s="10" t="n">
        <f aca="false">IF((B21*10)=10,900,1020-18*(B21*10))</f>
        <v>552</v>
      </c>
    </row>
    <row r="22" customFormat="false" ht="15" hidden="false" customHeight="false" outlineLevel="0" collapsed="false">
      <c r="B22" s="56" t="n">
        <f aca="false">27/10</f>
        <v>2.7</v>
      </c>
      <c r="C22" s="10" t="n">
        <f aca="false">IF((B22*10)=40,300,1020-18*((B22*10)+1)+1)</f>
        <v>517</v>
      </c>
      <c r="D22" s="10" t="n">
        <f aca="false">IF((B22*10)=10,900,1020-18*(B22*10))</f>
        <v>534</v>
      </c>
      <c r="F22" s="16" t="s">
        <v>537</v>
      </c>
    </row>
    <row r="23" customFormat="false" ht="15" hidden="false" customHeight="false" outlineLevel="0" collapsed="false">
      <c r="B23" s="56" t="n">
        <f aca="false">28/10</f>
        <v>2.8</v>
      </c>
      <c r="C23" s="10" t="n">
        <f aca="false">IF((B23*10)=40,300,1020-18*((B23*10)+1)+1)</f>
        <v>499</v>
      </c>
      <c r="D23" s="10" t="n">
        <f aca="false">IF((B23*10)=10,900,1020-18*(B23*10))</f>
        <v>516</v>
      </c>
    </row>
    <row r="24" customFormat="false" ht="15" hidden="false" customHeight="false" outlineLevel="0" collapsed="false">
      <c r="B24" s="56" t="n">
        <f aca="false">29/10</f>
        <v>2.9</v>
      </c>
      <c r="C24" s="10" t="n">
        <f aca="false">IF((B24*10)=40,300,1020-18*((B24*10)+1)+1)</f>
        <v>481</v>
      </c>
      <c r="D24" s="10" t="n">
        <f aca="false">IF((B24*10)=10,900,1020-18*(B24*10))</f>
        <v>498</v>
      </c>
    </row>
    <row r="25" customFormat="false" ht="15" hidden="false" customHeight="false" outlineLevel="0" collapsed="false">
      <c r="B25" s="56" t="n">
        <f aca="false">30/10</f>
        <v>3</v>
      </c>
      <c r="C25" s="10" t="n">
        <f aca="false">IF((B25*10)=40,300,1020-18*((B25*10)+1)+1)</f>
        <v>463</v>
      </c>
      <c r="D25" s="10" t="n">
        <f aca="false">IF((B25*10)=10,900,1020-18*(B25*10))</f>
        <v>480</v>
      </c>
    </row>
    <row r="26" customFormat="false" ht="15" hidden="false" customHeight="false" outlineLevel="0" collapsed="false">
      <c r="B26" s="56" t="n">
        <f aca="false">31/10</f>
        <v>3.1</v>
      </c>
      <c r="C26" s="10" t="n">
        <f aca="false">IF((B26*10)=40,300,1020-18*((B26*10)+1)+1)</f>
        <v>445</v>
      </c>
      <c r="D26" s="10" t="n">
        <f aca="false">IF((B26*10)=10,900,1020-18*(B26*10))</f>
        <v>462</v>
      </c>
    </row>
    <row r="27" customFormat="false" ht="15" hidden="false" customHeight="false" outlineLevel="0" collapsed="false">
      <c r="B27" s="56" t="n">
        <f aca="false">32/10</f>
        <v>3.2</v>
      </c>
      <c r="C27" s="10" t="n">
        <f aca="false">IF((B27*10)=40,300,1020-18*((B27*10)+1)+1)</f>
        <v>427</v>
      </c>
      <c r="D27" s="10" t="n">
        <f aca="false">IF((B27*10)=10,900,1020-18*(B27*10))</f>
        <v>444</v>
      </c>
    </row>
    <row r="28" customFormat="false" ht="15" hidden="false" customHeight="false" outlineLevel="0" collapsed="false">
      <c r="B28" s="56" t="n">
        <f aca="false">33/10</f>
        <v>3.3</v>
      </c>
      <c r="C28" s="10" t="n">
        <f aca="false">IF((B28*10)=40,300,1020-18*((B28*10)+1)+1)</f>
        <v>409</v>
      </c>
      <c r="D28" s="10" t="n">
        <f aca="false">IF((B28*10)=10,900,1020-18*(B28*10))</f>
        <v>426</v>
      </c>
    </row>
    <row r="29" customFormat="false" ht="15" hidden="false" customHeight="false" outlineLevel="0" collapsed="false">
      <c r="B29" s="56" t="n">
        <f aca="false">34/10</f>
        <v>3.4</v>
      </c>
      <c r="C29" s="10" t="n">
        <f aca="false">IF((B29*10)=40,300,1020-18*((B29*10)+1)+1)</f>
        <v>391</v>
      </c>
      <c r="D29" s="10" t="n">
        <f aca="false">IF((B29*10)=10,900,1020-18*(B29*10))</f>
        <v>408</v>
      </c>
    </row>
    <row r="30" customFormat="false" ht="15" hidden="false" customHeight="false" outlineLevel="0" collapsed="false">
      <c r="B30" s="56" t="n">
        <f aca="false">35/10</f>
        <v>3.5</v>
      </c>
      <c r="C30" s="10" t="n">
        <f aca="false">IF((B30*10)=40,300,1020-18*((B30*10)+1)+1)</f>
        <v>373</v>
      </c>
      <c r="D30" s="10" t="n">
        <f aca="false">IF((B30*10)=10,900,1020-18*(B30*10))</f>
        <v>390</v>
      </c>
    </row>
    <row r="31" customFormat="false" ht="15" hidden="false" customHeight="false" outlineLevel="0" collapsed="false">
      <c r="B31" s="56" t="n">
        <f aca="false">36/10</f>
        <v>3.6</v>
      </c>
      <c r="C31" s="10" t="n">
        <f aca="false">IF((B31*10)=40,300,1020-18*((B31*10)+1)+1)</f>
        <v>355</v>
      </c>
      <c r="D31" s="10" t="n">
        <f aca="false">IF((B31*10)=10,900,1020-18*(B31*10))</f>
        <v>372</v>
      </c>
    </row>
    <row r="32" customFormat="false" ht="15" hidden="false" customHeight="false" outlineLevel="0" collapsed="false">
      <c r="B32" s="56" t="n">
        <f aca="false">37/10</f>
        <v>3.7</v>
      </c>
      <c r="C32" s="10" t="n">
        <f aca="false">IF((B32*10)=40,300,1020-18*((B32*10)+1)+1)</f>
        <v>337</v>
      </c>
      <c r="D32" s="10" t="n">
        <f aca="false">IF((B32*10)=10,900,1020-18*(B32*10))</f>
        <v>354</v>
      </c>
    </row>
    <row r="33" customFormat="false" ht="15" hidden="false" customHeight="false" outlineLevel="0" collapsed="false">
      <c r="B33" s="56" t="n">
        <f aca="false">38/10</f>
        <v>3.8</v>
      </c>
      <c r="C33" s="10" t="n">
        <f aca="false">IF((B33*10)=40,300,1020-18*((B33*10)+1)+1)</f>
        <v>319</v>
      </c>
      <c r="D33" s="10" t="n">
        <f aca="false">IF((B33*10)=10,900,1020-18*(B33*10))</f>
        <v>336</v>
      </c>
    </row>
    <row r="34" customFormat="false" ht="15" hidden="false" customHeight="false" outlineLevel="0" collapsed="false">
      <c r="B34" s="56" t="n">
        <f aca="false">39/10</f>
        <v>3.9</v>
      </c>
      <c r="C34" s="10" t="n">
        <f aca="false">IF((B34*10)=40,300,1020-18*((B34*10)+1)+1)</f>
        <v>301</v>
      </c>
      <c r="D34" s="10" t="n">
        <f aca="false">IF((B34*10)=10,900,1020-18*(B34*10))</f>
        <v>318</v>
      </c>
    </row>
    <row r="35" customFormat="false" ht="15" hidden="false" customHeight="false" outlineLevel="0" collapsed="false">
      <c r="B35" s="56" t="n">
        <f aca="false">40/10</f>
        <v>4</v>
      </c>
      <c r="C35" s="10" t="n">
        <f aca="false">IF((B35*10)=40,300,1020-18*((B35*10)+1)+1)</f>
        <v>300</v>
      </c>
      <c r="D35" s="10" t="n">
        <f aca="false">IF((B35*10)=10,900,1020-18*(B35*10))</f>
        <v>300</v>
      </c>
    </row>
    <row r="37" customFormat="false" ht="15" hidden="false" customHeight="false" outlineLevel="0" collapsed="false">
      <c r="B37" s="16" t="s">
        <v>538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2026-09-23T23:59:36Z</dcterms:created>
  <dc:creator>abi-rechner.com</dc:creator>
  <dc:description/>
  <cp:keywords>Abi-Rechner Abiturnote Excel Abitur 2027</cp:keywords>
  <dc:language>en-US</dc:language>
  <cp:lastModifiedBy/>
  <dcterms:modified xsi:type="dcterms:W3CDTF">2026-09-23T23:59:37Z</dcterms:modified>
  <cp:revision>0</cp:revision>
  <dc:subject>Abiturnote berechnen – alle Bundesländer</dc:subject>
  <dc:title>Abi-Rechner für Excel – Abitur 2027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